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ve\Desktop\"/>
    </mc:Choice>
  </mc:AlternateContent>
  <bookViews>
    <workbookView xWindow="0" yWindow="0" windowWidth="24000" windowHeight="13632"/>
  </bookViews>
  <sheets>
    <sheet name="Household Budget WorksheetAZDPA" sheetId="1" r:id="rId1"/>
  </sheets>
  <definedNames>
    <definedName name="LastCol">COUNTA('Household Budget WorksheetAZDPA'!$3:$3)+1</definedName>
    <definedName name="PrintArea_SET">OFFSET('Household Budget WorksheetAZDPA'!$A$1,,,MATCH(REPT("z",255),'Household Budget WorksheetAZDPA'!$A:$A),LastCol)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C84" i="1"/>
  <c r="N60" i="1"/>
  <c r="N30" i="1"/>
  <c r="N38" i="1"/>
  <c r="N39" i="1"/>
  <c r="N99" i="1"/>
  <c r="N23" i="1"/>
  <c r="N22" i="1"/>
  <c r="N21" i="1"/>
  <c r="N19" i="1"/>
  <c r="N18" i="1"/>
  <c r="N17" i="1"/>
  <c r="N16" i="1"/>
  <c r="D5" i="1"/>
  <c r="C5" i="1"/>
  <c r="B5" i="1"/>
  <c r="N14" i="1"/>
  <c r="N15" i="1"/>
  <c r="N24" i="1" l="1"/>
  <c r="N20" i="1"/>
  <c r="N12" i="1"/>
  <c r="N13" i="1"/>
  <c r="C111" i="1" l="1"/>
  <c r="D111" i="1"/>
  <c r="E111" i="1"/>
  <c r="F111" i="1"/>
  <c r="G111" i="1"/>
  <c r="H111" i="1"/>
  <c r="I111" i="1"/>
  <c r="J111" i="1"/>
  <c r="K111" i="1"/>
  <c r="L111" i="1"/>
  <c r="M111" i="1"/>
  <c r="B111" i="1"/>
  <c r="C103" i="1"/>
  <c r="D103" i="1"/>
  <c r="E103" i="1"/>
  <c r="F103" i="1"/>
  <c r="G103" i="1"/>
  <c r="H103" i="1"/>
  <c r="I103" i="1"/>
  <c r="J103" i="1"/>
  <c r="K103" i="1"/>
  <c r="L103" i="1"/>
  <c r="M103" i="1"/>
  <c r="B103" i="1"/>
  <c r="C94" i="1"/>
  <c r="D94" i="1"/>
  <c r="E94" i="1"/>
  <c r="F94" i="1"/>
  <c r="G94" i="1"/>
  <c r="H94" i="1"/>
  <c r="I94" i="1"/>
  <c r="J94" i="1"/>
  <c r="K94" i="1"/>
  <c r="L94" i="1"/>
  <c r="M94" i="1"/>
  <c r="B94" i="1"/>
  <c r="C87" i="1"/>
  <c r="D87" i="1"/>
  <c r="E87" i="1"/>
  <c r="F87" i="1"/>
  <c r="G87" i="1"/>
  <c r="H87" i="1"/>
  <c r="I87" i="1"/>
  <c r="J87" i="1"/>
  <c r="K87" i="1"/>
  <c r="L87" i="1"/>
  <c r="M87" i="1"/>
  <c r="B87" i="1"/>
  <c r="C78" i="1"/>
  <c r="D78" i="1"/>
  <c r="E78" i="1"/>
  <c r="F78" i="1"/>
  <c r="G78" i="1"/>
  <c r="H78" i="1"/>
  <c r="I78" i="1"/>
  <c r="J78" i="1"/>
  <c r="K78" i="1"/>
  <c r="L78" i="1"/>
  <c r="M78" i="1"/>
  <c r="B78" i="1"/>
  <c r="C72" i="1"/>
  <c r="D72" i="1"/>
  <c r="E72" i="1"/>
  <c r="F72" i="1"/>
  <c r="G72" i="1"/>
  <c r="H72" i="1"/>
  <c r="I72" i="1"/>
  <c r="J72" i="1"/>
  <c r="K72" i="1"/>
  <c r="L72" i="1"/>
  <c r="M72" i="1"/>
  <c r="B72" i="1"/>
  <c r="C63" i="1"/>
  <c r="D63" i="1"/>
  <c r="E63" i="1"/>
  <c r="F63" i="1"/>
  <c r="G63" i="1"/>
  <c r="H63" i="1"/>
  <c r="I63" i="1"/>
  <c r="J63" i="1"/>
  <c r="K63" i="1"/>
  <c r="L63" i="1"/>
  <c r="M63" i="1"/>
  <c r="B63" i="1"/>
  <c r="N107" i="1"/>
  <c r="N108" i="1"/>
  <c r="N109" i="1"/>
  <c r="N110" i="1"/>
  <c r="N106" i="1"/>
  <c r="N98" i="1"/>
  <c r="N100" i="1"/>
  <c r="N101" i="1"/>
  <c r="N102" i="1"/>
  <c r="N97" i="1"/>
  <c r="N91" i="1"/>
  <c r="N92" i="1"/>
  <c r="N93" i="1"/>
  <c r="N90" i="1"/>
  <c r="N82" i="1"/>
  <c r="N83" i="1"/>
  <c r="N84" i="1"/>
  <c r="N85" i="1"/>
  <c r="N86" i="1"/>
  <c r="N81" i="1"/>
  <c r="N75" i="1"/>
  <c r="N76" i="1"/>
  <c r="N77" i="1"/>
  <c r="N67" i="1"/>
  <c r="N68" i="1"/>
  <c r="N69" i="1"/>
  <c r="N70" i="1"/>
  <c r="N71" i="1"/>
  <c r="N66" i="1"/>
  <c r="N56" i="1"/>
  <c r="N57" i="1"/>
  <c r="N58" i="1"/>
  <c r="N59" i="1"/>
  <c r="N61" i="1"/>
  <c r="N62" i="1"/>
  <c r="N55" i="1"/>
  <c r="C52" i="1"/>
  <c r="D52" i="1"/>
  <c r="E52" i="1"/>
  <c r="F52" i="1"/>
  <c r="G52" i="1"/>
  <c r="H52" i="1"/>
  <c r="I52" i="1"/>
  <c r="J52" i="1"/>
  <c r="K52" i="1"/>
  <c r="L52" i="1"/>
  <c r="M52" i="1"/>
  <c r="B52" i="1"/>
  <c r="N49" i="1"/>
  <c r="N50" i="1"/>
  <c r="N51" i="1"/>
  <c r="N48" i="1"/>
  <c r="C45" i="1"/>
  <c r="D45" i="1"/>
  <c r="E45" i="1"/>
  <c r="F45" i="1"/>
  <c r="G45" i="1"/>
  <c r="H45" i="1"/>
  <c r="I45" i="1"/>
  <c r="J45" i="1"/>
  <c r="K45" i="1"/>
  <c r="L45" i="1"/>
  <c r="M45" i="1"/>
  <c r="B45" i="1"/>
  <c r="N40" i="1"/>
  <c r="N41" i="1"/>
  <c r="N42" i="1"/>
  <c r="N43" i="1"/>
  <c r="N44" i="1"/>
  <c r="N37" i="1"/>
  <c r="C34" i="1"/>
  <c r="D34" i="1"/>
  <c r="E34" i="1"/>
  <c r="F34" i="1"/>
  <c r="G34" i="1"/>
  <c r="H34" i="1"/>
  <c r="I34" i="1"/>
  <c r="J34" i="1"/>
  <c r="K34" i="1"/>
  <c r="L34" i="1"/>
  <c r="M34" i="1"/>
  <c r="B34" i="1"/>
  <c r="N31" i="1"/>
  <c r="N32" i="1"/>
  <c r="N29" i="1"/>
  <c r="N33" i="1"/>
  <c r="N28" i="1"/>
  <c r="C25" i="1"/>
  <c r="D25" i="1"/>
  <c r="E25" i="1"/>
  <c r="F25" i="1"/>
  <c r="G25" i="1"/>
  <c r="H25" i="1"/>
  <c r="I25" i="1"/>
  <c r="J25" i="1"/>
  <c r="K25" i="1"/>
  <c r="L25" i="1"/>
  <c r="M25" i="1"/>
  <c r="B25" i="1"/>
  <c r="N52" i="1" l="1"/>
  <c r="N103" i="1"/>
  <c r="N94" i="1"/>
  <c r="N87" i="1"/>
  <c r="N78" i="1"/>
  <c r="N72" i="1"/>
  <c r="N63" i="1"/>
  <c r="J114" i="1"/>
  <c r="N45" i="1"/>
  <c r="N34" i="1"/>
  <c r="N25" i="1"/>
  <c r="I114" i="1"/>
  <c r="H114" i="1"/>
  <c r="G114" i="1"/>
  <c r="B114" i="1"/>
  <c r="F114" i="1"/>
  <c r="M114" i="1"/>
  <c r="L114" i="1"/>
  <c r="K114" i="1"/>
  <c r="C114" i="1"/>
  <c r="E114" i="1"/>
  <c r="D114" i="1"/>
  <c r="N111" i="1"/>
  <c r="M8" i="1"/>
  <c r="E8" i="1"/>
  <c r="J8" i="1"/>
  <c r="L8" i="1"/>
  <c r="D8" i="1"/>
  <c r="C8" i="1"/>
  <c r="G8" i="1"/>
  <c r="F8" i="1"/>
  <c r="B8" i="1"/>
  <c r="K8" i="1"/>
  <c r="I8" i="1"/>
  <c r="N7" i="1"/>
  <c r="N6" i="1"/>
  <c r="H8" i="1"/>
  <c r="N5" i="1"/>
  <c r="B115" i="1" l="1"/>
  <c r="J115" i="1"/>
  <c r="H115" i="1"/>
  <c r="G115" i="1"/>
  <c r="D115" i="1"/>
  <c r="L115" i="1"/>
  <c r="F115" i="1"/>
  <c r="N114" i="1"/>
  <c r="I115" i="1"/>
  <c r="K115" i="1"/>
  <c r="E115" i="1"/>
  <c r="M115" i="1"/>
  <c r="C115" i="1"/>
  <c r="N8" i="1"/>
  <c r="N115" i="1" l="1"/>
</calcChain>
</file>

<file path=xl/sharedStrings.xml><?xml version="1.0" encoding="utf-8"?>
<sst xmlns="http://schemas.openxmlformats.org/spreadsheetml/2006/main" count="143" uniqueCount="101">
  <si>
    <t>Interest/dividends</t>
  </si>
  <si>
    <t>Miscellaneous</t>
  </si>
  <si>
    <t>Utilities</t>
  </si>
  <si>
    <t xml:space="preserve">Groceries </t>
  </si>
  <si>
    <t>Child care</t>
  </si>
  <si>
    <t>Dry cleaning</t>
  </si>
  <si>
    <t>Dining out</t>
  </si>
  <si>
    <t>Dog walker</t>
  </si>
  <si>
    <t>Gas/fuel</t>
  </si>
  <si>
    <t>Insurance</t>
  </si>
  <si>
    <t>Car wash/detailing services</t>
  </si>
  <si>
    <t>Parking</t>
  </si>
  <si>
    <t>Public transportation</t>
  </si>
  <si>
    <t>Movies/plays</t>
  </si>
  <si>
    <t>Concerts/clubs</t>
  </si>
  <si>
    <t>Health club dues</t>
  </si>
  <si>
    <t>Prescriptions</t>
  </si>
  <si>
    <t>Over-the-counter drugs</t>
  </si>
  <si>
    <t>Co-payments/out-of-pocket</t>
  </si>
  <si>
    <t>Veterinarians/pet medicines</t>
  </si>
  <si>
    <t>Life insurance</t>
  </si>
  <si>
    <t>Plane fare</t>
  </si>
  <si>
    <t>Accommodations</t>
  </si>
  <si>
    <t>Food</t>
  </si>
  <si>
    <t>Souvenirs</t>
  </si>
  <si>
    <t>Pet boarding</t>
  </si>
  <si>
    <t>Rental car</t>
  </si>
  <si>
    <t>Sports equipment</t>
  </si>
  <si>
    <t>Toys/child gear</t>
  </si>
  <si>
    <t>Magazines</t>
  </si>
  <si>
    <t>Newspapers</t>
  </si>
  <si>
    <t>Internet connection</t>
  </si>
  <si>
    <t>Religious organizations</t>
  </si>
  <si>
    <t>Charity</t>
  </si>
  <si>
    <t>Clothing</t>
  </si>
  <si>
    <t>Gifts</t>
  </si>
  <si>
    <t>Salon/barber</t>
  </si>
  <si>
    <t>Long-term savings</t>
  </si>
  <si>
    <t>Retirement (401k, Roth IRA)</t>
  </si>
  <si>
    <t>Credit card payments</t>
  </si>
  <si>
    <t>Income tax (additional)</t>
  </si>
  <si>
    <t>Other obligations</t>
  </si>
  <si>
    <t xml:space="preserve">   Other</t>
  </si>
  <si>
    <t>Total expenses</t>
  </si>
  <si>
    <t>Cash short/extra</t>
  </si>
  <si>
    <t>Total</t>
  </si>
  <si>
    <t>INCOME</t>
  </si>
  <si>
    <t>EXPENSES</t>
  </si>
  <si>
    <t>HOME</t>
  </si>
  <si>
    <t>TRANSPORTATION</t>
  </si>
  <si>
    <t>DAILY LIVING</t>
  </si>
  <si>
    <t>ENTERTAINMENT</t>
  </si>
  <si>
    <t>HEALTH</t>
  </si>
  <si>
    <t>VACATIONS</t>
  </si>
  <si>
    <t>RECREATION</t>
  </si>
  <si>
    <t>DUES/SUBSCRIPTION</t>
  </si>
  <si>
    <t>PERSONAL</t>
  </si>
  <si>
    <t>FINANCIAL OBLIGATIONS</t>
  </si>
  <si>
    <t>MISC PAYMENTS</t>
  </si>
  <si>
    <t>TOTALS</t>
  </si>
  <si>
    <t>JAN</t>
  </si>
  <si>
    <t>FEB</t>
  </si>
  <si>
    <t>MAY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</si>
  <si>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</si>
  <si>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</si>
  <si>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</si>
  <si>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</si>
  <si>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</si>
  <si>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</si>
  <si>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</si>
  <si>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</si>
  <si>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</si>
  <si>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YEAR</t>
  </si>
  <si>
    <t>REVENUE</t>
  </si>
  <si>
    <t xml:space="preserve"> </t>
  </si>
  <si>
    <t>HOA Fees</t>
  </si>
  <si>
    <t>HOUSEHOLD BUDGET</t>
  </si>
  <si>
    <t>Maintenance &amp; Repairs</t>
  </si>
  <si>
    <t>Home Improvement Projects</t>
  </si>
  <si>
    <t>Lawn Care</t>
  </si>
  <si>
    <t>Pool Care</t>
  </si>
  <si>
    <t>Cleaning (Service or Supplies)</t>
  </si>
  <si>
    <t>Pest Control</t>
  </si>
  <si>
    <t>Security Alarm</t>
  </si>
  <si>
    <t>Storage Unit</t>
  </si>
  <si>
    <t xml:space="preserve">Furniture, Appliances &amp; Décor </t>
  </si>
  <si>
    <t>Team / Club dues</t>
  </si>
  <si>
    <t>Mortgage Pmt (PITI)</t>
  </si>
  <si>
    <t>Tools</t>
  </si>
  <si>
    <t>Registration</t>
  </si>
  <si>
    <t>Car payment(s)</t>
  </si>
  <si>
    <t>Repairs &amp; maintenance</t>
  </si>
  <si>
    <t xml:space="preserve">Cable &amp; satellite </t>
  </si>
  <si>
    <t>DVD rental, streaming media</t>
  </si>
  <si>
    <t>Music</t>
  </si>
  <si>
    <t>Coffee or other drink</t>
  </si>
  <si>
    <t>Dental, Ortho, Optometrist</t>
  </si>
  <si>
    <t>Satellite radio</t>
  </si>
  <si>
    <t>Student Loans</t>
  </si>
  <si>
    <t>Wages (Net of Taxes)</t>
  </si>
  <si>
    <t>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</si>
</sst>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color theme="1" tint="0.14993743705557422"/>
      <name val="Tahoma"/>
      <family val="2"/>
      <scheme val="minor"/>
    </font>
    <font>
      <b/>
      <sz val="10"/>
      <color theme="1" tint="0.14990691854609822"/>
      <name val="Trebuchet MS"/>
      <family val="2"/>
      <scheme val="major"/>
    </font>
    <font>
      <sz val="11"/>
      <color theme="1" tint="0.14993743705557422"/>
      <name val="Trebuchet MS"/>
      <family val="2"/>
      <scheme val="major"/>
    </font>
    <font>
      <sz val="22"/>
      <color theme="1" tint="0.14993743705557422"/>
      <name val="Trebuchet MS"/>
      <family val="2"/>
      <scheme val="maj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80001220740379042"/>
        </stop>
      </gradientFill>
    </fill>
    <fill>
      <gradientFill degree="90">
        <stop position="0">
          <color theme="0"/>
        </stop>
        <stop position="1">
          <color theme="5" tint="0.80001220740379042"/>
        </stop>
      </gradientFill>
    </fill>
  </fills>
  <borders count="3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medium">
        <color theme="5" tint="-0.24994659260841701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Protection="0">
      <alignment vertical="center"/>
    </xf>
    <xf numFmtId="0" fontId="2" fillId="0" borderId="1" applyNumberFormat="0" applyFill="0" applyProtection="0">
      <alignment vertical="center"/>
    </xf>
    <xf numFmtId="0" fontId="1" fillId="2" borderId="0" applyNumberFormat="0" applyProtection="0">
      <alignment vertical="center"/>
    </xf>
    <xf numFmtId="0" fontId="1" fillId="3" borderId="0" applyNumberForma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1">
      <alignment vertical="center"/>
    </xf>
    <xf numFmtId="0" fontId="2" fillId="0" borderId="1" xfId="2">
      <alignment vertical="center"/>
    </xf>
    <xf numFmtId="0" fontId="1" fillId="2" borderId="0" xfId="3">
      <alignment vertical="center"/>
    </xf>
    <xf numFmtId="0" fontId="2" fillId="0" borderId="2" xfId="2" applyBorder="1">
      <alignment vertical="center"/>
    </xf>
    <xf numFmtId="0" fontId="1" fillId="3" borderId="0" xfId="4">
      <alignment vertical="center"/>
    </xf>
    <xf numFmtId="0" fontId="0" fillId="0" borderId="0" xfId="0" applyAlignment="1">
      <alignment horizontal="right" vertical="center"/>
    </xf>
    <xf numFmtId="0" fontId="2" fillId="0" borderId="1" xfId="2" applyAlignment="1">
      <alignment horizontal="right" vertical="center"/>
    </xf>
    <xf numFmtId="0" fontId="1" fillId="2" borderId="0" xfId="3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2" fillId="0" borderId="2" xfId="2" applyBorder="1" applyAlignment="1">
      <alignment horizontal="right" vertical="center"/>
    </xf>
    <xf numFmtId="0" fontId="1" fillId="3" borderId="0" xfId="4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5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</cellStyles>
  <dxfs count="378">
    <dxf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font>
        <color rgb="FF9C0006"/>
      </font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vertical="center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numFmt numFmtId="164" formatCode="&quot;$&quot;#,##0.00"/>
      <alignment horizontal="right" textRotation="0" wrapText="0" indent="0" justifyLastLine="0" shrinkToFit="0" readingOrder="0"/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 val="0"/>
        <i val="0"/>
        <color theme="6" tint="-0.499984740745262"/>
      </font>
      <fill>
        <patternFill patternType="solid">
          <fgColor theme="6" tint="0.79998168889431442"/>
          <bgColor theme="6" tint="0.79998168889431442"/>
        </patternFill>
      </fill>
    </dxf>
    <dxf>
      <font>
        <b val="0"/>
        <i val="0"/>
        <color theme="6" tint="-0.499984740745262"/>
      </font>
      <fill>
        <patternFill patternType="solid">
          <fgColor theme="6" tint="0.79998168889431442"/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 val="0"/>
        <i val="0"/>
        <color theme="6" tint="-0.499984740745262"/>
      </font>
      <border>
        <top style="thin">
          <color theme="6" tint="-0.24994659260841701"/>
        </top>
      </border>
    </dxf>
    <dxf>
      <font>
        <b val="0"/>
        <i val="0"/>
        <color theme="6" tint="-0.499984740745262"/>
      </font>
      <border>
        <bottom style="thin">
          <color theme="6" tint="-0.24994659260841701"/>
        </bottom>
      </border>
    </dxf>
    <dxf>
      <font>
        <b val="0"/>
        <i val="0"/>
        <color theme="6" tint="-0.499984740745262"/>
      </font>
      <border>
        <top style="thin">
          <color theme="6" tint="-0.24994659260841701"/>
        </top>
        <bottom style="thin">
          <color theme="6" tint="-0.24994659260841701"/>
        </bottom>
      </border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 val="0"/>
        <i val="0"/>
        <color theme="5" tint="-0.499984740745262"/>
      </font>
      <fill>
        <patternFill patternType="solid">
          <fgColor theme="5" tint="0.79998168889431442"/>
          <bgColor theme="5" tint="0.79998168889431442"/>
        </patternFill>
      </fill>
    </dxf>
    <dxf>
      <font>
        <b val="0"/>
        <i val="0"/>
        <color theme="5" tint="-0.499984740745262"/>
      </font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5" tint="-0.499984740745262"/>
      </font>
    </dxf>
    <dxf>
      <font>
        <b val="0"/>
        <i val="0"/>
        <color theme="5" tint="-0.499984740745262"/>
      </font>
      <border>
        <top style="thin">
          <color theme="5" tint="-0.24994659260841701"/>
        </top>
      </border>
    </dxf>
    <dxf>
      <font>
        <b val="0"/>
        <i val="0"/>
        <color theme="5" tint="-0.499984740745262"/>
      </font>
      <border>
        <bottom style="thin">
          <color theme="5" tint="-0.24994659260841701"/>
        </bottom>
      </border>
    </dxf>
    <dxf>
      <font>
        <b val="0"/>
        <i val="0"/>
        <color theme="5" tint="-0.499984740745262"/>
      </font>
      <border>
        <top style="thin">
          <color theme="5" tint="-0.24994659260841701"/>
        </top>
        <bottom style="thin">
          <color theme="5" tint="-0.24994659260841701"/>
        </bottom>
      </border>
    </dxf>
    <dxf>
      <font>
        <b/>
        <i val="0"/>
        <color theme="4" tint="-0.499984740745262"/>
      </font>
      <fill>
        <patternFill>
          <bgColor theme="4" tint="0.79998168889431442"/>
        </patternFill>
      </fill>
    </dxf>
    <dxf>
      <font>
        <b/>
        <i val="0"/>
        <color theme="4" tint="-0.499984740745262"/>
      </font>
      <fill>
        <patternFill>
          <bgColor theme="4" tint="0.79998168889431442"/>
        </patternFill>
      </fill>
    </dxf>
    <dxf>
      <font>
        <b val="0"/>
        <i val="0"/>
        <color theme="4" tint="-0.499984740745262"/>
      </font>
      <fill>
        <patternFill>
          <bgColor theme="4" tint="0.79998168889431442"/>
        </patternFill>
      </fill>
    </dxf>
    <dxf>
      <font>
        <b val="0"/>
        <i val="0"/>
        <color theme="4" tint="-0.499984740745262"/>
      </font>
      <fill>
        <patternFill patternType="solid">
          <fgColor theme="4" tint="0.79995117038483843"/>
          <bgColor theme="4" tint="0.79998168889431442"/>
        </patternFill>
      </fill>
    </dxf>
    <dxf>
      <font>
        <b/>
        <i val="0"/>
        <color theme="4" tint="-0.499984740745262"/>
      </font>
      <fill>
        <patternFill>
          <bgColor theme="4" tint="0.79998168889431442"/>
        </patternFill>
      </fill>
    </dxf>
    <dxf>
      <font>
        <b/>
        <i val="0"/>
        <color theme="4" tint="-0.499984740745262"/>
      </font>
    </dxf>
    <dxf>
      <font>
        <b val="0"/>
        <i val="0"/>
        <color theme="4" tint="-0.499984740745262"/>
      </font>
      <fill>
        <patternFill patternType="none">
          <bgColor auto="1"/>
        </patternFill>
      </fill>
      <border>
        <top style="thin">
          <color theme="4" tint="-0.24994659260841701"/>
        </top>
      </border>
    </dxf>
    <dxf>
      <border diagonalUp="0" diagonalDown="0">
        <left/>
        <right/>
        <top/>
        <bottom style="thin">
          <color theme="4" tint="-0.499984740745262"/>
        </bottom>
        <vertical/>
        <horizontal/>
      </border>
    </dxf>
    <dxf>
      <font>
        <b val="0"/>
        <i val="0"/>
        <color theme="4" tint="-0.499984740745262"/>
      </font>
      <border>
        <top style="thin">
          <color theme="4" tint="-0.24994659260841701"/>
        </top>
        <bottom style="thin">
          <color theme="4" tint="-0.24994659260841701"/>
        </bottom>
      </border>
    </dxf>
  </dxfs>
  <tableStyles count="3" defaultTableStyle="Personal Budget - Expense" defaultPivotStyle="PivotStyleLight16">
    <tableStyle name="Persona Budget - Revenue" pivot="0" count="9">
      <tableStyleElement type="wholeTable" dxfId="377"/>
      <tableStyleElement type="headerRow" dxfId="376"/>
      <tableStyleElement type="totalRow" dxfId="375"/>
      <tableStyleElement type="firstColumn" dxfId="374"/>
      <tableStyleElement type="lastColumn" dxfId="373"/>
      <tableStyleElement type="firstRowStripe" dxfId="372"/>
      <tableStyleElement type="firstColumnStripe" dxfId="371"/>
      <tableStyleElement type="firstTotalCell" dxfId="370"/>
      <tableStyleElement type="lastTotalCell" dxfId="369"/>
    </tableStyle>
    <tableStyle name="Personal Budget - Expense" pivot="0" count="9">
      <tableStyleElement type="wholeTable" dxfId="368"/>
      <tableStyleElement type="headerRow" dxfId="367"/>
      <tableStyleElement type="totalRow" dxfId="366"/>
      <tableStyleElement type="firstColumn" dxfId="365"/>
      <tableStyleElement type="lastColumn" dxfId="364"/>
      <tableStyleElement type="firstRowStripe" dxfId="363"/>
      <tableStyleElement type="firstColumnStripe" dxfId="362"/>
      <tableStyleElement type="firstTotalCell" dxfId="361"/>
      <tableStyleElement type="lastTotalCell" dxfId="360"/>
    </tableStyle>
    <tableStyle name="Personal Budget - Total" pivot="0" count="9">
      <tableStyleElement type="wholeTable" dxfId="359"/>
      <tableStyleElement type="headerRow" dxfId="358"/>
      <tableStyleElement type="totalRow" dxfId="357"/>
      <tableStyleElement type="firstColumn" dxfId="356"/>
      <tableStyleElement type="lastColumn" dxfId="355"/>
      <tableStyleElement type="firstRowStripe" dxfId="354"/>
      <tableStyleElement type="firstColumnStripe" dxfId="353"/>
      <tableStyleElement type="firstTotalCell" dxfId="352"/>
      <tableStyleElement type="lastTotalCell" dxfId="35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586740</xdr:colOff>
      <xdr:row>0</xdr:row>
      <xdr:rowOff>0</xdr:rowOff>
    </xdr:from>
    <xdr:to>
      <xdr:col>15</xdr:col>
      <xdr:colOff>11070</xdr:colOff>
      <xdr:row>2</xdr:row>
      <xdr:rowOff>6155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96600" y="0"/>
          <a:ext cx="1679850" cy="5395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blIncome" displayName="tblIncome" ref="A5:O8" headerRowCount="0" totalsRowCount="1">
  <tableColumns count="15">
    <tableColumn id="1" name="INCOME" totalsRowLabel="Total"/>
    <tableColumn id="2" name="Jan" totalsRowFunction="sum" dataDxfId="350" totalsRowDxfId="83"/>
    <tableColumn id="3" name="Feb" totalsRowFunction="sum" dataDxfId="177" totalsRowDxfId="82"/>
    <tableColumn id="4" name="March" totalsRowFunction="sum" dataDxfId="176" totalsRowDxfId="81"/>
    <tableColumn id="5" name="April" totalsRowFunction="sum" dataDxfId="349" totalsRowDxfId="80"/>
    <tableColumn id="6" name="May" totalsRowFunction="sum" dataDxfId="348" totalsRowDxfId="79"/>
    <tableColumn id="7" name="June" totalsRowFunction="sum" dataDxfId="347" totalsRowDxfId="78"/>
    <tableColumn id="8" name="July" totalsRowFunction="sum" dataDxfId="346" totalsRowDxfId="77"/>
    <tableColumn id="9" name="Aug" totalsRowFunction="sum" dataDxfId="345" totalsRowDxfId="76"/>
    <tableColumn id="10" name="Sept" totalsRowFunction="sum" dataDxfId="344" totalsRowDxfId="75"/>
    <tableColumn id="11" name="Oct" totalsRowFunction="sum" dataDxfId="343" totalsRowDxfId="74"/>
    <tableColumn id="12" name="Nov" totalsRowFunction="sum" dataDxfId="342" totalsRowDxfId="73"/>
    <tableColumn id="13" name="Dec" totalsRowFunction="sum" dataDxfId="341" totalsRowDxfId="72"/>
    <tableColumn id="14" name="Year" totalsRowFunction="sum" dataDxfId="340" totalsRowDxfId="71">
      <calculatedColumnFormula>SUM(tblIncome[[#This Row],[Jan]:[Dec]])</calculatedColumnFormula>
    </tableColumn>
    <tableColumn id="15" name="Column1" dataDxfId="339" totalsRowDxfId="70"/>
  </tableColumns>
  <tableStyleInfo name="Persona Budget - Revenue" showFirstColumn="0" showLastColumn="0" showRowStripes="0" showColumnStripes="1"/>
  <extLst>
    <ext xmlns:x14="http://schemas.microsoft.com/office/spreadsheetml/2009/9/main" uri="{504A1905-F514-4f6f-8877-14C23A59335A}">
      <x14:table altText="Income" altTextSummary="Enter your income for the year."/>
    </ext>
  </extLst>
</table>
</file>

<file path=xl/tables/table10.xml><?xml version="1.0" encoding="utf-8"?>
<table xmlns="http://schemas.openxmlformats.org/spreadsheetml/2006/main" id="10" name="tblPersonal" displayName="tblPersonal" ref="A90:O94" headerRowCount="0" totalsRowCount="1">
  <tableColumns count="15">
    <tableColumn id="1" name="Personal" totalsRowLabel="Total"/>
    <tableColumn id="2" name="Jan" totalsRowFunction="sum" dataDxfId="259" totalsRowDxfId="27"/>
    <tableColumn id="3" name="Feb" totalsRowFunction="sum" dataDxfId="258" totalsRowDxfId="26"/>
    <tableColumn id="4" name="March" totalsRowFunction="sum" dataDxfId="257" totalsRowDxfId="25"/>
    <tableColumn id="5" name="April" totalsRowFunction="sum" dataDxfId="256" totalsRowDxfId="24"/>
    <tableColumn id="6" name="May" totalsRowFunction="sum" dataDxfId="255" totalsRowDxfId="23"/>
    <tableColumn id="7" name="June" totalsRowFunction="sum" dataDxfId="254" totalsRowDxfId="22"/>
    <tableColumn id="8" name="July" totalsRowFunction="sum" dataDxfId="253" totalsRowDxfId="21"/>
    <tableColumn id="9" name="Aug" totalsRowFunction="sum" dataDxfId="252" totalsRowDxfId="20"/>
    <tableColumn id="10" name="Sept" totalsRowFunction="sum" dataDxfId="251" totalsRowDxfId="19"/>
    <tableColumn id="11" name="Oct" totalsRowFunction="sum" dataDxfId="250" totalsRowDxfId="18"/>
    <tableColumn id="12" name="Nov" totalsRowFunction="sum" dataDxfId="249" totalsRowDxfId="17"/>
    <tableColumn id="13" name="Dec" totalsRowFunction="sum" dataDxfId="248" totalsRowDxfId="16"/>
    <tableColumn id="14" name="Year" totalsRowFunction="sum" dataDxfId="247" totalsRowDxfId="15">
      <calculatedColumnFormula>SUM(tblPersonal[[#This Row],[Jan]:[Dec]])</calculatedColumnFormula>
    </tableColumn>
    <tableColumn id="15" name="Column1" dataDxfId="246" totalsRowDxfId="14"/>
  </tableColumns>
  <tableStyleInfo name="Personal Budget - Expense" showFirstColumn="0" showLastColumn="0" showRowStripes="0" showColumnStripes="1"/>
  <extLst>
    <ext xmlns:x14="http://schemas.microsoft.com/office/spreadsheetml/2009/9/main" uri="{504A1905-F514-4f6f-8877-14C23A59335A}">
      <x14:table altText="Personal Expenses" altTextSummary="Enter your personal expenses for the year, separated by month."/>
    </ext>
  </extLst>
</table>
</file>

<file path=xl/tables/table11.xml><?xml version="1.0" encoding="utf-8"?>
<table xmlns="http://schemas.openxmlformats.org/spreadsheetml/2006/main" id="11" name="tblFinancial" displayName="tblFinancial" ref="A97:O103" headerRowCount="0" totalsRowCount="1">
  <tableColumns count="15">
    <tableColumn id="1" name="Financial obligations" totalsRowLabel="Total"/>
    <tableColumn id="2" name="Jan" totalsRowFunction="sum" dataDxfId="245" totalsRowDxfId="13"/>
    <tableColumn id="3" name="Feb" totalsRowFunction="sum" dataDxfId="244" totalsRowDxfId="12"/>
    <tableColumn id="4" name="March" totalsRowFunction="sum" dataDxfId="243" totalsRowDxfId="11"/>
    <tableColumn id="5" name="April" totalsRowFunction="sum" dataDxfId="242" totalsRowDxfId="10"/>
    <tableColumn id="6" name="May" totalsRowFunction="sum" dataDxfId="241" totalsRowDxfId="9"/>
    <tableColumn id="7" name="June" totalsRowFunction="sum" dataDxfId="240" totalsRowDxfId="8"/>
    <tableColumn id="8" name="July" totalsRowFunction="sum" dataDxfId="239" totalsRowDxfId="7"/>
    <tableColumn id="9" name="Aug" totalsRowFunction="sum" dataDxfId="238" totalsRowDxfId="6"/>
    <tableColumn id="10" name="Sept" totalsRowFunction="sum" dataDxfId="237" totalsRowDxfId="5"/>
    <tableColumn id="11" name="Oct" totalsRowFunction="sum" dataDxfId="236" totalsRowDxfId="4"/>
    <tableColumn id="12" name="Nov" totalsRowFunction="sum" dataDxfId="235" totalsRowDxfId="3"/>
    <tableColumn id="13" name="Dec" totalsRowFunction="sum" dataDxfId="234" totalsRowDxfId="2"/>
    <tableColumn id="14" name="Year" totalsRowFunction="sum" dataDxfId="233" totalsRowDxfId="1">
      <calculatedColumnFormula>SUM(tblFinancial[[#This Row],[Jan]:[Dec]])</calculatedColumnFormula>
    </tableColumn>
    <tableColumn id="15" name="Column1" dataDxfId="232" totalsRowDxfId="0"/>
  </tableColumns>
  <tableStyleInfo name="Personal Budget - Expense" showFirstColumn="0" showLastColumn="0" showRowStripes="0" showColumnStripes="1"/>
  <extLst>
    <ext xmlns:x14="http://schemas.microsoft.com/office/spreadsheetml/2009/9/main" uri="{504A1905-F514-4f6f-8877-14C23A59335A}">
      <x14:table altText="Financial Expenses" altTextSummary="Enter your financial expenses for the year, separated by month."/>
    </ext>
  </extLst>
</table>
</file>

<file path=xl/tables/table12.xml><?xml version="1.0" encoding="utf-8"?>
<table xmlns="http://schemas.openxmlformats.org/spreadsheetml/2006/main" id="12" name="tblMisc" displayName="tblMisc" ref="A106:O111" headerRowCount="0" totalsRowCount="1">
  <tableColumns count="15">
    <tableColumn id="1" name="Misc. payments" totalsRowLabel="Total"/>
    <tableColumn id="2" name="Jan" totalsRowFunction="sum" dataDxfId="231" totalsRowDxfId="230"/>
    <tableColumn id="3" name="Feb" totalsRowFunction="sum" dataDxfId="229" totalsRowDxfId="228"/>
    <tableColumn id="4" name="March" totalsRowFunction="sum" dataDxfId="227" totalsRowDxfId="226"/>
    <tableColumn id="5" name="April" totalsRowFunction="sum" dataDxfId="225" totalsRowDxfId="224"/>
    <tableColumn id="6" name="May" totalsRowFunction="sum" dataDxfId="223" totalsRowDxfId="222"/>
    <tableColumn id="7" name="June" totalsRowFunction="sum" dataDxfId="221" totalsRowDxfId="220"/>
    <tableColumn id="8" name="July" totalsRowFunction="sum" dataDxfId="219" totalsRowDxfId="218"/>
    <tableColumn id="9" name="Aug" totalsRowFunction="sum" dataDxfId="217" totalsRowDxfId="216"/>
    <tableColumn id="10" name="Sept" totalsRowFunction="sum" dataDxfId="215" totalsRowDxfId="214"/>
    <tableColumn id="11" name="Oct" totalsRowFunction="sum" dataDxfId="213" totalsRowDxfId="212"/>
    <tableColumn id="12" name="Nov" totalsRowFunction="sum" dataDxfId="211" totalsRowDxfId="210"/>
    <tableColumn id="13" name="Dec" totalsRowFunction="sum" dataDxfId="209" totalsRowDxfId="208"/>
    <tableColumn id="14" name="Year" totalsRowFunction="sum" dataDxfId="207" totalsRowDxfId="206">
      <calculatedColumnFormula>SUM(tblMisc[[#This Row],[Jan]:[Dec]])</calculatedColumnFormula>
    </tableColumn>
    <tableColumn id="15" name="Column1" dataDxfId="205" totalsRowDxfId="204"/>
  </tableColumns>
  <tableStyleInfo name="Personal Budget - Expense" showFirstColumn="0" showLastColumn="0" showRowStripes="0" showColumnStripes="1"/>
  <extLst>
    <ext xmlns:x14="http://schemas.microsoft.com/office/spreadsheetml/2009/9/main" uri="{504A1905-F514-4f6f-8877-14C23A59335A}">
      <x14:table altText="Misc Expenses" altTextSummary="Enter your miscellaneous expenses for the year, separated by month."/>
    </ext>
  </extLst>
</table>
</file>

<file path=xl/tables/table13.xml><?xml version="1.0" encoding="utf-8"?>
<table xmlns="http://schemas.openxmlformats.org/spreadsheetml/2006/main" id="13" name="tblTotals" displayName="tblTotals" ref="A113:O115" totalsRowShown="0" headerRowCellStyle="Heading 3">
  <tableColumns count="15">
    <tableColumn id="1" name="TOTALS"/>
    <tableColumn id="2" name="JAN" dataDxfId="203">
      <calculatedColumnFormula>tblIncome[[#Totals],[Jan]]-B113</calculatedColumnFormula>
    </tableColumn>
    <tableColumn id="3" name="FEB" dataDxfId="202">
      <calculatedColumnFormula>tblIncome[[#Totals],[Feb]]-C113</calculatedColumnFormula>
    </tableColumn>
    <tableColumn id="4" name="MAR" dataDxfId="201">
      <calculatedColumnFormula>tblIncome[[#Totals],[March]]-D113</calculatedColumnFormula>
    </tableColumn>
    <tableColumn id="5" name="APR" dataDxfId="200">
      <calculatedColumnFormula>tblIncome[[#Totals],[April]]-E113</calculatedColumnFormula>
    </tableColumn>
    <tableColumn id="6" name="MAY" dataDxfId="199">
      <calculatedColumnFormula>tblIncome[[#Totals],[May]]-F113</calculatedColumnFormula>
    </tableColumn>
    <tableColumn id="7" name="JUN" dataDxfId="198">
      <calculatedColumnFormula>tblIncome[[#Totals],[June]]-G113</calculatedColumnFormula>
    </tableColumn>
    <tableColumn id="8" name="JUL" dataDxfId="197">
      <calculatedColumnFormula>tblIncome[[#Totals],[July]]-H113</calculatedColumnFormula>
    </tableColumn>
    <tableColumn id="9" name="AUG" dataDxfId="196">
      <calculatedColumnFormula>tblIncome[[#Totals],[Aug]]-I113</calculatedColumnFormula>
    </tableColumn>
    <tableColumn id="10" name="SEP" dataDxfId="195">
      <calculatedColumnFormula>tblIncome[[#Totals],[Sept]]-J113</calculatedColumnFormula>
    </tableColumn>
    <tableColumn id="11" name="OCT" dataDxfId="194">
      <calculatedColumnFormula>tblIncome[[#Totals],[Oct]]-K113</calculatedColumnFormula>
    </tableColumn>
    <tableColumn id="12" name="NOV" dataDxfId="193">
      <calculatedColumnFormula>tblIncome[[#Totals],[Nov]]-L113</calculatedColumnFormula>
    </tableColumn>
    <tableColumn id="13" name="DEC" dataDxfId="192">
      <calculatedColumnFormula>tblIncome[[#Totals],[Dec]]-M113</calculatedColumnFormula>
    </tableColumn>
    <tableColumn id="14" name="YEAR" dataDxfId="191">
      <calculatedColumnFormula>tblIncome[[#Totals],[Year]]-N113</calculatedColumnFormula>
    </tableColumn>
    <tableColumn id="15" name=" " dataDxfId="190"/>
  </tableColumns>
  <tableStyleInfo name="Personal Budget - Total" showFirstColumn="1" showLastColumn="0" showRowStripes="0" showColumnStripes="1"/>
  <extLst>
    <ext xmlns:x14="http://schemas.microsoft.com/office/spreadsheetml/2009/9/main" uri="{504A1905-F514-4f6f-8877-14C23A59335A}">
      <x14:table altText="Totals" altTextSummary="View your totals for the year, separated by month."/>
    </ext>
  </extLst>
</table>
</file>

<file path=xl/tables/table2.xml><?xml version="1.0" encoding="utf-8"?>
<table xmlns="http://schemas.openxmlformats.org/spreadsheetml/2006/main" id="2" name="tblHome" displayName="tblHome" ref="A12:O25" headerRowCount="0" totalsRowCount="1">
  <tableColumns count="15">
    <tableColumn id="1" name="Home" totalsRowLabel="Total"/>
    <tableColumn id="2" name="Jan" totalsRowFunction="sum" dataDxfId="189" totalsRowDxfId="173"/>
    <tableColumn id="3" name="Feb" totalsRowFunction="sum" dataDxfId="175" totalsRowDxfId="172"/>
    <tableColumn id="4" name="March" totalsRowFunction="sum" dataDxfId="174" totalsRowDxfId="171"/>
    <tableColumn id="5" name="April" totalsRowFunction="sum" dataDxfId="188" totalsRowDxfId="170"/>
    <tableColumn id="6" name="May" totalsRowFunction="sum" dataDxfId="187" totalsRowDxfId="169"/>
    <tableColumn id="7" name="June" totalsRowFunction="sum" dataDxfId="186" totalsRowDxfId="168"/>
    <tableColumn id="8" name="July" totalsRowFunction="sum" dataDxfId="185" totalsRowDxfId="167"/>
    <tableColumn id="9" name="Aug" totalsRowFunction="sum" dataDxfId="184" totalsRowDxfId="166"/>
    <tableColumn id="10" name="Sept" totalsRowFunction="sum" dataDxfId="183" totalsRowDxfId="165"/>
    <tableColumn id="11" name="Oct" totalsRowFunction="sum" dataDxfId="182" totalsRowDxfId="164"/>
    <tableColumn id="12" name="Nov" totalsRowFunction="sum" dataDxfId="181" totalsRowDxfId="163"/>
    <tableColumn id="13" name="Dec" totalsRowFunction="sum" dataDxfId="180" totalsRowDxfId="162"/>
    <tableColumn id="14" name="Year" totalsRowFunction="sum" dataDxfId="179" totalsRowDxfId="161">
      <calculatedColumnFormula>SUM(tblHome[[#This Row],[Jan]:[Dec]])</calculatedColumnFormula>
    </tableColumn>
    <tableColumn id="15" name="Column1" dataDxfId="178" totalsRowDxfId="160"/>
  </tableColumns>
  <tableStyleInfo name="Personal Budget - Expense" showFirstColumn="0" showLastColumn="0" showRowStripes="0" showColumnStripes="1"/>
  <extLst>
    <ext xmlns:x14="http://schemas.microsoft.com/office/spreadsheetml/2009/9/main" uri="{504A1905-F514-4f6f-8877-14C23A59335A}">
      <x14:table altText="Home Expenses" altTextSummary="Enter your home expenses for the year, separated by month."/>
    </ext>
  </extLst>
</table>
</file>

<file path=xl/tables/table3.xml><?xml version="1.0" encoding="utf-8"?>
<table xmlns="http://schemas.openxmlformats.org/spreadsheetml/2006/main" id="3" name="tblDaily" displayName="tblDaily" ref="A28:O34" headerRowCount="0" totalsRowCount="1">
  <tableColumns count="15">
    <tableColumn id="1" name="Daily living" totalsRowLabel="Total"/>
    <tableColumn id="2" name="Jan" totalsRowFunction="sum" dataDxfId="156" totalsRowDxfId="114"/>
    <tableColumn id="3" name="Feb" totalsRowFunction="sum" dataDxfId="116" totalsRowDxfId="113"/>
    <tableColumn id="4" name="March" totalsRowFunction="sum" dataDxfId="115" totalsRowDxfId="112"/>
    <tableColumn id="5" name="April" totalsRowFunction="sum" dataDxfId="155" totalsRowDxfId="111"/>
    <tableColumn id="6" name="May" totalsRowFunction="sum" dataDxfId="154" totalsRowDxfId="110"/>
    <tableColumn id="7" name="June" totalsRowFunction="sum" dataDxfId="153" totalsRowDxfId="109"/>
    <tableColumn id="8" name="July" totalsRowFunction="sum" dataDxfId="152" totalsRowDxfId="108"/>
    <tableColumn id="9" name="Aug" totalsRowFunction="sum" dataDxfId="151" totalsRowDxfId="107"/>
    <tableColumn id="10" name="Sept" totalsRowFunction="sum" dataDxfId="150" totalsRowDxfId="106"/>
    <tableColumn id="11" name="Oct" totalsRowFunction="sum" dataDxfId="149" totalsRowDxfId="105"/>
    <tableColumn id="12" name="Nov" totalsRowFunction="sum" dataDxfId="148" totalsRowDxfId="104"/>
    <tableColumn id="13" name="Dec" totalsRowFunction="sum" dataDxfId="147" totalsRowDxfId="103"/>
    <tableColumn id="14" name="Year" totalsRowFunction="sum" dataDxfId="146" totalsRowDxfId="102">
      <calculatedColumnFormula>SUM(tblDaily[[#This Row],[Jan]:[Dec]])</calculatedColumnFormula>
    </tableColumn>
    <tableColumn id="15" name="Column1" dataDxfId="145" totalsRowDxfId="101"/>
  </tableColumns>
  <tableStyleInfo name="Personal Budget - Expense" showFirstColumn="0" showLastColumn="0" showRowStripes="0" showColumnStripes="1"/>
  <extLst>
    <ext xmlns:x14="http://schemas.microsoft.com/office/spreadsheetml/2009/9/main" uri="{504A1905-F514-4f6f-8877-14C23A59335A}">
      <x14:table altText="Daily Living Expenses" altTextSummary="Enter your daily living expenses for the year, separated by month."/>
    </ext>
  </extLst>
</table>
</file>

<file path=xl/tables/table4.xml><?xml version="1.0" encoding="utf-8"?>
<table xmlns="http://schemas.openxmlformats.org/spreadsheetml/2006/main" id="4" name="tblTransportation" displayName="tblTransportation" ref="A37:O45" headerRowCount="0" totalsRowCount="1">
  <tableColumns count="15">
    <tableColumn id="1" name="Transportation" totalsRowLabel="Total"/>
    <tableColumn id="2" name="Jan" totalsRowFunction="sum" dataDxfId="159" totalsRowDxfId="144"/>
    <tableColumn id="3" name="Feb" totalsRowFunction="sum" dataDxfId="158" totalsRowDxfId="143"/>
    <tableColumn id="4" name="March" totalsRowFunction="sum" dataDxfId="157" totalsRowDxfId="142"/>
    <tableColumn id="5" name="April" totalsRowFunction="sum" dataDxfId="338" totalsRowDxfId="141"/>
    <tableColumn id="6" name="May" totalsRowFunction="sum" dataDxfId="337" totalsRowDxfId="140"/>
    <tableColumn id="7" name="June" totalsRowFunction="sum" dataDxfId="336" totalsRowDxfId="139"/>
    <tableColumn id="8" name="July" totalsRowFunction="sum" dataDxfId="335" totalsRowDxfId="138"/>
    <tableColumn id="9" name="Aug" totalsRowFunction="sum" dataDxfId="334" totalsRowDxfId="137"/>
    <tableColumn id="10" name="Sept" totalsRowFunction="sum" dataDxfId="333" totalsRowDxfId="136"/>
    <tableColumn id="11" name="Oct" totalsRowFunction="sum" dataDxfId="332" totalsRowDxfId="135"/>
    <tableColumn id="12" name="Nov" totalsRowFunction="sum" dataDxfId="331" totalsRowDxfId="134"/>
    <tableColumn id="13" name="Dec" totalsRowFunction="sum" dataDxfId="330" totalsRowDxfId="133"/>
    <tableColumn id="14" name="Year" totalsRowFunction="sum" dataDxfId="329" totalsRowDxfId="132">
      <calculatedColumnFormula>SUM(tblTransportation[[#This Row],[Jan]:[Dec]])</calculatedColumnFormula>
    </tableColumn>
    <tableColumn id="15" name="Column1" dataDxfId="328" totalsRowDxfId="131"/>
  </tableColumns>
  <tableStyleInfo name="Personal Budget - Expense" showFirstColumn="0" showLastColumn="0" showRowStripes="0" showColumnStripes="1"/>
  <extLst>
    <ext xmlns:x14="http://schemas.microsoft.com/office/spreadsheetml/2009/9/main" uri="{504A1905-F514-4f6f-8877-14C23A59335A}">
      <x14:table altText="Transportation expenses" altTextSummary="Enter your transportation expenses for the year, separated by month."/>
    </ext>
  </extLst>
</table>
</file>

<file path=xl/tables/table5.xml><?xml version="1.0" encoding="utf-8"?>
<table xmlns="http://schemas.openxmlformats.org/spreadsheetml/2006/main" id="5" name="tblEntertainment" displayName="tblEntertainment" ref="A48:O52" headerRowCount="0" totalsRowCount="1">
  <tableColumns count="15">
    <tableColumn id="1" name="Entertainment" totalsRowLabel="Total"/>
    <tableColumn id="2" name="Jan" totalsRowFunction="sum" dataDxfId="327" totalsRowDxfId="130"/>
    <tableColumn id="3" name="Feb" totalsRowFunction="sum" dataDxfId="326" totalsRowDxfId="129"/>
    <tableColumn id="4" name="March" totalsRowFunction="sum" dataDxfId="325" totalsRowDxfId="128"/>
    <tableColumn id="5" name="April" totalsRowFunction="sum" dataDxfId="324" totalsRowDxfId="127"/>
    <tableColumn id="6" name="May" totalsRowFunction="sum" dataDxfId="323" totalsRowDxfId="126"/>
    <tableColumn id="7" name="June" totalsRowFunction="sum" dataDxfId="322" totalsRowDxfId="125"/>
    <tableColumn id="8" name="July" totalsRowFunction="sum" dataDxfId="321" totalsRowDxfId="124"/>
    <tableColumn id="9" name="Aug" totalsRowFunction="sum" dataDxfId="320" totalsRowDxfId="123"/>
    <tableColumn id="10" name="Sept" totalsRowFunction="sum" dataDxfId="319" totalsRowDxfId="122"/>
    <tableColumn id="11" name="Oct" totalsRowFunction="sum" dataDxfId="318" totalsRowDxfId="121"/>
    <tableColumn id="12" name="Nov" totalsRowFunction="sum" dataDxfId="317" totalsRowDxfId="120"/>
    <tableColumn id="13" name="Dec" totalsRowFunction="sum" dataDxfId="316" totalsRowDxfId="119"/>
    <tableColumn id="14" name="Year" totalsRowFunction="sum" dataDxfId="315" totalsRowDxfId="118">
      <calculatedColumnFormula>SUM(tblEntertainment[[#This Row],[Jan]:[Dec]])</calculatedColumnFormula>
    </tableColumn>
    <tableColumn id="15" name="Column1" dataDxfId="314" totalsRowDxfId="117"/>
  </tableColumns>
  <tableStyleInfo name="Personal Budget - Expense" showFirstColumn="0" showLastColumn="0" showRowStripes="0" showColumnStripes="1"/>
  <extLst>
    <ext xmlns:x14="http://schemas.microsoft.com/office/spreadsheetml/2009/9/main" uri="{504A1905-F514-4f6f-8877-14C23A59335A}">
      <x14:table altText="Entertainment Expenses" altTextSummary="Enter your entertainment expenses for the year, separated by month."/>
    </ext>
  </extLst>
</table>
</file>

<file path=xl/tables/table6.xml><?xml version="1.0" encoding="utf-8"?>
<table xmlns="http://schemas.openxmlformats.org/spreadsheetml/2006/main" id="6" name="tblHealth" displayName="tblHealth" ref="A55:O63" headerRowCount="0" totalsRowCount="1">
  <tableColumns count="15">
    <tableColumn id="1" name="Health" totalsRowLabel="Total"/>
    <tableColumn id="2" name="Jan" totalsRowFunction="sum" dataDxfId="313" totalsRowDxfId="100"/>
    <tableColumn id="3" name="Feb" totalsRowFunction="sum" dataDxfId="312" totalsRowDxfId="99"/>
    <tableColumn id="4" name="March" totalsRowFunction="sum" dataDxfId="311" totalsRowDxfId="98"/>
    <tableColumn id="5" name="April" totalsRowFunction="sum" dataDxfId="310" totalsRowDxfId="97"/>
    <tableColumn id="6" name="May" totalsRowFunction="sum" dataDxfId="309" totalsRowDxfId="96"/>
    <tableColumn id="7" name="June" totalsRowFunction="sum" dataDxfId="308" totalsRowDxfId="95"/>
    <tableColumn id="8" name="July" totalsRowFunction="sum" dataDxfId="307" totalsRowDxfId="94"/>
    <tableColumn id="9" name="Aug" totalsRowFunction="sum" dataDxfId="306" totalsRowDxfId="93"/>
    <tableColumn id="10" name="Sept" totalsRowFunction="sum" dataDxfId="305" totalsRowDxfId="92"/>
    <tableColumn id="11" name="Oct" totalsRowFunction="sum" dataDxfId="304" totalsRowDxfId="91"/>
    <tableColumn id="12" name="Nov" totalsRowFunction="sum" dataDxfId="303" totalsRowDxfId="90"/>
    <tableColumn id="13" name="Dec" totalsRowFunction="sum" dataDxfId="302" totalsRowDxfId="89"/>
    <tableColumn id="14" name="Year" totalsRowFunction="sum" dataDxfId="301" totalsRowDxfId="88">
      <calculatedColumnFormula>SUM(tblHealth[[#This Row],[Jan]:[Dec]])</calculatedColumnFormula>
    </tableColumn>
    <tableColumn id="15" name="Column1" dataDxfId="300" totalsRowDxfId="87"/>
  </tableColumns>
  <tableStyleInfo name="Personal Budget - Expense" showFirstColumn="0" showLastColumn="0" showRowStripes="0" showColumnStripes="1"/>
  <extLst>
    <ext xmlns:x14="http://schemas.microsoft.com/office/spreadsheetml/2009/9/main" uri="{504A1905-F514-4f6f-8877-14C23A59335A}">
      <x14:table altText="Health Expenses" altTextSummary="Enter your health expenses for the year, separated by month."/>
    </ext>
  </extLst>
</table>
</file>

<file path=xl/tables/table7.xml><?xml version="1.0" encoding="utf-8"?>
<table xmlns="http://schemas.openxmlformats.org/spreadsheetml/2006/main" id="7" name="tblVacations" displayName="tblVacations" ref="A66:O72" headerRowCount="0" totalsRowCount="1">
  <tableColumns count="15">
    <tableColumn id="1" name="Vacations" totalsRowLabel="Total"/>
    <tableColumn id="2" name="Jan" totalsRowFunction="sum" dataDxfId="299" totalsRowDxfId="69"/>
    <tableColumn id="3" name="Feb" totalsRowFunction="sum" dataDxfId="298" totalsRowDxfId="68"/>
    <tableColumn id="4" name="March" totalsRowFunction="sum" dataDxfId="297" totalsRowDxfId="67"/>
    <tableColumn id="5" name="April" totalsRowFunction="sum" dataDxfId="296" totalsRowDxfId="66"/>
    <tableColumn id="6" name="May" totalsRowFunction="sum" dataDxfId="295" totalsRowDxfId="65"/>
    <tableColumn id="7" name="June" totalsRowFunction="sum" dataDxfId="294" totalsRowDxfId="64"/>
    <tableColumn id="8" name="July" totalsRowFunction="sum" dataDxfId="293" totalsRowDxfId="63"/>
    <tableColumn id="9" name="Aug" totalsRowFunction="sum" dataDxfId="292" totalsRowDxfId="62"/>
    <tableColumn id="10" name="Sept" totalsRowFunction="sum" dataDxfId="291" totalsRowDxfId="61"/>
    <tableColumn id="11" name="Oct" totalsRowFunction="sum" dataDxfId="290" totalsRowDxfId="60"/>
    <tableColumn id="12" name="Nov" totalsRowFunction="sum" dataDxfId="289" totalsRowDxfId="59"/>
    <tableColumn id="13" name="Dec" totalsRowFunction="sum" dataDxfId="288" totalsRowDxfId="58"/>
    <tableColumn id="14" name="Year" totalsRowFunction="sum" dataDxfId="287" totalsRowDxfId="57">
      <calculatedColumnFormula>SUM(tblVacations[[#This Row],[Jan]:[Dec]])</calculatedColumnFormula>
    </tableColumn>
    <tableColumn id="15" name="Column1" dataDxfId="286" totalsRowDxfId="56"/>
  </tableColumns>
  <tableStyleInfo name="Personal Budget - Expense" showFirstColumn="0" showLastColumn="0" showRowStripes="0" showColumnStripes="1"/>
  <extLst>
    <ext xmlns:x14="http://schemas.microsoft.com/office/spreadsheetml/2009/9/main" uri="{504A1905-F514-4f6f-8877-14C23A59335A}">
      <x14:table altText="Vacation Expenses" altTextSummary="Enter your vacation expenses for the year, separated by month."/>
    </ext>
  </extLst>
</table>
</file>

<file path=xl/tables/table8.xml><?xml version="1.0" encoding="utf-8"?>
<table xmlns="http://schemas.openxmlformats.org/spreadsheetml/2006/main" id="8" name="tblRecreation" displayName="tblRecreation" ref="A75:O78" headerRowCount="0" totalsRowCount="1">
  <tableColumns count="15">
    <tableColumn id="1" name="Recreation" totalsRowLabel="Total"/>
    <tableColumn id="2" name="Jan" totalsRowFunction="sum" dataDxfId="285" totalsRowDxfId="55"/>
    <tableColumn id="3" name="Feb" totalsRowFunction="sum" dataDxfId="284" totalsRowDxfId="54"/>
    <tableColumn id="4" name="March" totalsRowFunction="sum" dataDxfId="283" totalsRowDxfId="53"/>
    <tableColumn id="5" name="April" totalsRowFunction="sum" dataDxfId="282" totalsRowDxfId="52"/>
    <tableColumn id="6" name="May" totalsRowFunction="sum" dataDxfId="281" totalsRowDxfId="51"/>
    <tableColumn id="7" name="June" totalsRowFunction="sum" dataDxfId="280" totalsRowDxfId="50"/>
    <tableColumn id="8" name="July" totalsRowFunction="sum" dataDxfId="279" totalsRowDxfId="49"/>
    <tableColumn id="9" name="Aug" totalsRowFunction="sum" dataDxfId="278" totalsRowDxfId="48"/>
    <tableColumn id="10" name="Sept" totalsRowFunction="sum" dataDxfId="277" totalsRowDxfId="47"/>
    <tableColumn id="11" name="Oct" totalsRowFunction="sum" dataDxfId="276" totalsRowDxfId="46"/>
    <tableColumn id="12" name="Nov" totalsRowFunction="sum" dataDxfId="275" totalsRowDxfId="45"/>
    <tableColumn id="13" name="Dec" totalsRowFunction="sum" dataDxfId="274" totalsRowDxfId="44"/>
    <tableColumn id="14" name="Year" totalsRowFunction="sum" dataDxfId="273" totalsRowDxfId="43">
      <calculatedColumnFormula>SUM(tblRecreation[[#This Row],[Jan]:[Dec]])</calculatedColumnFormula>
    </tableColumn>
    <tableColumn id="15" name="Column1" dataDxfId="272" totalsRowDxfId="42"/>
  </tableColumns>
  <tableStyleInfo name="Personal Budget - Expense" showFirstColumn="0" showLastColumn="0" showRowStripes="0" showColumnStripes="1"/>
  <extLst>
    <ext xmlns:x14="http://schemas.microsoft.com/office/spreadsheetml/2009/9/main" uri="{504A1905-F514-4f6f-8877-14C23A59335A}">
      <x14:table altText="Recreation Expenses" altTextSummary="Enter your recreation expenses for the year, separated by month."/>
    </ext>
  </extLst>
</table>
</file>

<file path=xl/tables/table9.xml><?xml version="1.0" encoding="utf-8"?>
<table xmlns="http://schemas.openxmlformats.org/spreadsheetml/2006/main" id="9" name="tblDues" displayName="tblDues" ref="A81:O87" headerRowCount="0" totalsRowCount="1">
  <tableColumns count="15">
    <tableColumn id="1" name="Dues/subscriptions" totalsRowLabel="Total"/>
    <tableColumn id="2" name="Jan" totalsRowFunction="sum" dataDxfId="271" totalsRowDxfId="41"/>
    <tableColumn id="3" name="Feb" totalsRowFunction="sum" dataDxfId="86" totalsRowDxfId="40"/>
    <tableColumn id="4" name="March" totalsRowFunction="sum" dataDxfId="85" totalsRowDxfId="39"/>
    <tableColumn id="5" name="April" totalsRowFunction="sum" dataDxfId="270" totalsRowDxfId="38"/>
    <tableColumn id="6" name="May" totalsRowFunction="sum" dataDxfId="269" totalsRowDxfId="37"/>
    <tableColumn id="7" name="June" totalsRowFunction="sum" dataDxfId="268" totalsRowDxfId="36"/>
    <tableColumn id="8" name="July" totalsRowFunction="sum" dataDxfId="267" totalsRowDxfId="35"/>
    <tableColumn id="9" name="Aug" totalsRowFunction="sum" dataDxfId="266" totalsRowDxfId="34"/>
    <tableColumn id="10" name="Sept" totalsRowFunction="sum" dataDxfId="265" totalsRowDxfId="33"/>
    <tableColumn id="11" name="Oct" totalsRowFunction="sum" dataDxfId="264" totalsRowDxfId="32"/>
    <tableColumn id="12" name="Nov" totalsRowFunction="sum" dataDxfId="263" totalsRowDxfId="31"/>
    <tableColumn id="13" name="Dec" totalsRowFunction="sum" dataDxfId="262" totalsRowDxfId="30"/>
    <tableColumn id="14" name="Year" totalsRowFunction="sum" dataDxfId="261" totalsRowDxfId="29">
      <calculatedColumnFormula>SUM(tblDues[[#This Row],[Jan]:[Dec]])</calculatedColumnFormula>
    </tableColumn>
    <tableColumn id="15" name="Column1" dataDxfId="260" totalsRowDxfId="28"/>
  </tableColumns>
  <tableStyleInfo name="Personal Budget - Expense" showFirstColumn="0" showLastColumn="0" showRowStripes="0" showColumnStripes="1"/>
  <extLst>
    <ext xmlns:x14="http://schemas.microsoft.com/office/spreadsheetml/2009/9/main" uri="{504A1905-F514-4f6f-8877-14C23A59335A}">
      <x14:table altText="Dues &amp; Subscription Expenses" altTextSummary="Enter your dues &amp; subscription expenses for the year, separated by month."/>
    </ext>
  </extLst>
</table>
</file>

<file path=xl/theme/theme1.xml><?xml version="1.0" encoding="utf-8"?>
<a:theme xmlns:a="http://schemas.openxmlformats.org/drawingml/2006/main" name="Office Theme">
  <a:themeElements>
    <a:clrScheme name="Personal Budget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8EA74A"/>
      </a:accent1>
      <a:accent2>
        <a:srgbClr val="B0381C"/>
      </a:accent2>
      <a:accent3>
        <a:srgbClr val="0B648D"/>
      </a:accent3>
      <a:accent4>
        <a:srgbClr val="6A3A65"/>
      </a:accent4>
      <a:accent5>
        <a:srgbClr val="C06F2B"/>
      </a:accent5>
      <a:accent6>
        <a:srgbClr val="9E8A69"/>
      </a:accent6>
      <a:hlink>
        <a:srgbClr val="0B648D"/>
      </a:hlink>
      <a:folHlink>
        <a:srgbClr val="6A3A65"/>
      </a:folHlink>
    </a:clrScheme>
    <a:fontScheme name="Personal Budget">
      <a:majorFont>
        <a:latin typeface="Trebuchet MS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O115"/>
  <sheetViews>
    <sheetView showGridLines="0" tabSelected="1" zoomScale="90" zoomScaleNormal="90" workbookViewId="0">
      <selection activeCell="C101" sqref="C101"/>
    </sheetView>
  </sheetViews>
  <sheetFormatPr defaultRowHeight="13.2" x14ac:dyDescent="0.25"/>
  <cols>
    <col min="1" max="1" width="25.6640625" customWidth="1"/>
    <col min="2" max="13" width="11.33203125" style="6" customWidth="1"/>
    <col min="14" max="14" width="12.44140625" style="6" customWidth="1"/>
    <col min="15" max="15" width="9.109375" customWidth="1"/>
  </cols>
  <sheetData>
    <row r="1" spans="1:15" ht="28.8" x14ac:dyDescent="0.25">
      <c r="A1" s="1" t="s">
        <v>76</v>
      </c>
    </row>
    <row r="3" spans="1:15" ht="15" thickBot="1" x14ac:dyDescent="0.3">
      <c r="A3" s="2" t="s">
        <v>73</v>
      </c>
      <c r="B3" s="7" t="s">
        <v>100</v>
      </c>
      <c r="C3" s="7" t="s">
        <v>61</v>
      </c>
      <c r="D3" s="7" t="s">
        <v>63</v>
      </c>
      <c r="E3" s="7" t="s">
        <v>64</v>
      </c>
      <c r="F3" s="7" t="s">
        <v>62</v>
      </c>
      <c r="G3" s="7" t="s">
        <v>65</v>
      </c>
      <c r="H3" s="7" t="s">
        <v>66</v>
      </c>
      <c r="I3" s="7" t="s">
        <v>67</v>
      </c>
      <c r="J3" s="7" t="s">
        <v>68</v>
      </c>
      <c r="K3" s="7" t="s">
        <v>69</v>
      </c>
      <c r="L3" s="7" t="s">
        <v>70</v>
      </c>
      <c r="M3" s="7" t="s">
        <v>71</v>
      </c>
      <c r="N3" s="7" t="s">
        <v>72</v>
      </c>
      <c r="O3" s="7"/>
    </row>
    <row r="4" spans="1:15" ht="14.4" x14ac:dyDescent="0.25">
      <c r="A4" s="3" t="s">
        <v>46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 t="s">
        <v>74</v>
      </c>
    </row>
    <row r="5" spans="1:15" x14ac:dyDescent="0.25">
      <c r="A5" t="s">
        <v>99</v>
      </c>
      <c r="B5" s="9">
        <f>53000/12</f>
        <v>4416.666666666667</v>
      </c>
      <c r="C5" s="9">
        <f>53000/12</f>
        <v>4416.666666666667</v>
      </c>
      <c r="D5" s="9">
        <f>53000/12</f>
        <v>4416.666666666667</v>
      </c>
      <c r="E5" s="9"/>
      <c r="F5" s="9"/>
      <c r="G5" s="9"/>
      <c r="H5" s="9"/>
      <c r="I5" s="9"/>
      <c r="J5" s="9"/>
      <c r="K5" s="9"/>
      <c r="L5" s="9"/>
      <c r="M5" s="9"/>
      <c r="N5" s="9">
        <f>SUM(tblIncome[[#This Row],[Jan]:[Dec]])</f>
        <v>13250</v>
      </c>
      <c r="O5" s="9"/>
    </row>
    <row r="6" spans="1:15" x14ac:dyDescent="0.25">
      <c r="A6" t="s">
        <v>0</v>
      </c>
      <c r="B6" s="9">
        <v>20</v>
      </c>
      <c r="C6" s="9">
        <v>20</v>
      </c>
      <c r="D6" s="9">
        <v>20</v>
      </c>
      <c r="E6" s="9"/>
      <c r="F6" s="9"/>
      <c r="G6" s="9"/>
      <c r="H6" s="9"/>
      <c r="I6" s="9"/>
      <c r="J6" s="9"/>
      <c r="K6" s="9"/>
      <c r="L6" s="9"/>
      <c r="M6" s="9"/>
      <c r="N6" s="9">
        <f>SUM(tblIncome[[#This Row],[Jan]:[Dec]])</f>
        <v>60</v>
      </c>
      <c r="O6" s="9"/>
    </row>
    <row r="7" spans="1:15" x14ac:dyDescent="0.25">
      <c r="A7" t="s">
        <v>1</v>
      </c>
      <c r="B7" s="9">
        <v>200</v>
      </c>
      <c r="C7" s="9">
        <v>200</v>
      </c>
      <c r="D7" s="9">
        <v>200</v>
      </c>
      <c r="E7" s="9"/>
      <c r="F7" s="9"/>
      <c r="G7" s="9"/>
      <c r="H7" s="9"/>
      <c r="I7" s="9"/>
      <c r="J7" s="9"/>
      <c r="K7" s="9"/>
      <c r="L7" s="9"/>
      <c r="M7" s="9"/>
      <c r="N7" s="9">
        <f>SUM(tblIncome[[#This Row],[Jan]:[Dec]])</f>
        <v>600</v>
      </c>
      <c r="O7" s="9"/>
    </row>
    <row r="8" spans="1:15" x14ac:dyDescent="0.25">
      <c r="A8" t="s">
        <v>45</v>
      </c>
      <c r="B8" s="9">
        <f>SUBTOTAL(109,tblIncome[Jan])</f>
        <v>4636.666666666667</v>
      </c>
      <c r="C8" s="9">
        <f>SUBTOTAL(109,tblIncome[Feb])</f>
        <v>4636.666666666667</v>
      </c>
      <c r="D8" s="9">
        <f>SUBTOTAL(109,tblIncome[March])</f>
        <v>4636.666666666667</v>
      </c>
      <c r="E8" s="9">
        <f>SUBTOTAL(109,tblIncome[April])</f>
        <v>0</v>
      </c>
      <c r="F8" s="9">
        <f>SUBTOTAL(109,tblIncome[May])</f>
        <v>0</v>
      </c>
      <c r="G8" s="9">
        <f>SUBTOTAL(109,tblIncome[June])</f>
        <v>0</v>
      </c>
      <c r="H8" s="9">
        <f>SUBTOTAL(109,tblIncome[July])</f>
        <v>0</v>
      </c>
      <c r="I8" s="9">
        <f>SUBTOTAL(109,tblIncome[Aug])</f>
        <v>0</v>
      </c>
      <c r="J8" s="9">
        <f>SUBTOTAL(109,tblIncome[Sept])</f>
        <v>0</v>
      </c>
      <c r="K8" s="9">
        <f>SUBTOTAL(109,tblIncome[Oct])</f>
        <v>0</v>
      </c>
      <c r="L8" s="9">
        <f>SUBTOTAL(109,tblIncome[Nov])</f>
        <v>0</v>
      </c>
      <c r="M8" s="9">
        <f>SUBTOTAL(109,tblIncome[Dec])</f>
        <v>0</v>
      </c>
      <c r="N8" s="9">
        <f>SUBTOTAL(109,tblIncome[Year])</f>
        <v>13910</v>
      </c>
      <c r="O8" s="6"/>
    </row>
    <row r="9" spans="1:15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ht="15" thickBot="1" x14ac:dyDescent="0.3">
      <c r="A10" s="4" t="s">
        <v>47</v>
      </c>
      <c r="B10" s="10" t="s">
        <v>60</v>
      </c>
      <c r="C10" s="10" t="s">
        <v>61</v>
      </c>
      <c r="D10" s="10" t="s">
        <v>63</v>
      </c>
      <c r="E10" s="10" t="s">
        <v>64</v>
      </c>
      <c r="F10" s="10" t="s">
        <v>62</v>
      </c>
      <c r="G10" s="10" t="s">
        <v>65</v>
      </c>
      <c r="H10" s="10" t="s">
        <v>66</v>
      </c>
      <c r="I10" s="10" t="s">
        <v>67</v>
      </c>
      <c r="J10" s="10" t="s">
        <v>68</v>
      </c>
      <c r="K10" s="10" t="s">
        <v>69</v>
      </c>
      <c r="L10" s="10" t="s">
        <v>70</v>
      </c>
      <c r="M10" s="10" t="s">
        <v>71</v>
      </c>
      <c r="N10" s="10" t="s">
        <v>72</v>
      </c>
      <c r="O10" s="10"/>
    </row>
    <row r="11" spans="1:15" ht="14.4" x14ac:dyDescent="0.25">
      <c r="A11" s="5" t="s">
        <v>48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5">
      <c r="A12" t="s">
        <v>87</v>
      </c>
      <c r="B12" s="9">
        <v>1050</v>
      </c>
      <c r="C12" s="9">
        <v>1050</v>
      </c>
      <c r="D12" s="9">
        <v>1050</v>
      </c>
      <c r="E12" s="9"/>
      <c r="F12" s="9"/>
      <c r="G12" s="9"/>
      <c r="H12" s="9"/>
      <c r="I12" s="9"/>
      <c r="J12" s="9"/>
      <c r="K12" s="9"/>
      <c r="L12" s="9"/>
      <c r="M12" s="9"/>
      <c r="N12" s="9">
        <f>SUM(tblHome[[#This Row],[Jan]:[Dec]])</f>
        <v>3150</v>
      </c>
      <c r="O12" s="9"/>
    </row>
    <row r="13" spans="1:15" x14ac:dyDescent="0.25">
      <c r="A13" t="s">
        <v>75</v>
      </c>
      <c r="B13" s="9">
        <v>75</v>
      </c>
      <c r="C13" s="9">
        <v>0</v>
      </c>
      <c r="D13" s="9">
        <v>0</v>
      </c>
      <c r="E13" s="9"/>
      <c r="F13" s="9"/>
      <c r="G13" s="9"/>
      <c r="H13" s="9"/>
      <c r="I13" s="9"/>
      <c r="J13" s="9"/>
      <c r="K13" s="9"/>
      <c r="L13" s="9"/>
      <c r="M13" s="9"/>
      <c r="N13" s="9">
        <f>SUM(tblHome[[#This Row],[Jan]:[Dec]])</f>
        <v>75</v>
      </c>
      <c r="O13" s="9"/>
    </row>
    <row r="14" spans="1:15" x14ac:dyDescent="0.25">
      <c r="A14" t="s">
        <v>2</v>
      </c>
      <c r="B14" s="9">
        <v>165</v>
      </c>
      <c r="C14" s="9">
        <v>165</v>
      </c>
      <c r="D14" s="9">
        <v>165</v>
      </c>
      <c r="E14" s="9"/>
      <c r="F14" s="9"/>
      <c r="G14" s="9"/>
      <c r="H14" s="9"/>
      <c r="I14" s="9"/>
      <c r="J14" s="9"/>
      <c r="K14" s="9"/>
      <c r="L14" s="9"/>
      <c r="M14" s="9"/>
      <c r="N14" s="9">
        <f>SUM(tblHome[[#This Row],[Jan]:[Dec]])</f>
        <v>495</v>
      </c>
      <c r="O14" s="9"/>
    </row>
    <row r="15" spans="1:15" x14ac:dyDescent="0.25">
      <c r="A15" t="s">
        <v>77</v>
      </c>
      <c r="B15" s="9">
        <v>0</v>
      </c>
      <c r="C15" s="9">
        <v>0</v>
      </c>
      <c r="D15" s="9">
        <v>75</v>
      </c>
      <c r="E15" s="9"/>
      <c r="F15" s="9"/>
      <c r="G15" s="9"/>
      <c r="H15" s="9"/>
      <c r="I15" s="9"/>
      <c r="J15" s="9"/>
      <c r="K15" s="9"/>
      <c r="L15" s="9"/>
      <c r="M15" s="9"/>
      <c r="N15" s="9">
        <f>SUM(tblHome[[#This Row],[Jan]:[Dec]])</f>
        <v>75</v>
      </c>
      <c r="O15" s="9"/>
    </row>
    <row r="16" spans="1:15" x14ac:dyDescent="0.25">
      <c r="A16" t="s">
        <v>78</v>
      </c>
      <c r="B16" s="9">
        <v>50</v>
      </c>
      <c r="C16" s="9">
        <v>0</v>
      </c>
      <c r="D16" s="9">
        <v>200</v>
      </c>
      <c r="E16" s="9"/>
      <c r="F16" s="9"/>
      <c r="G16" s="9"/>
      <c r="H16" s="9"/>
      <c r="I16" s="9"/>
      <c r="J16" s="9"/>
      <c r="K16" s="9"/>
      <c r="L16" s="9"/>
      <c r="M16" s="9"/>
      <c r="N16" s="9">
        <f>SUM(tblHome[[#This Row],[Jan]:[Dec]])</f>
        <v>250</v>
      </c>
      <c r="O16" s="9"/>
    </row>
    <row r="17" spans="1:15" x14ac:dyDescent="0.25">
      <c r="A17" t="s">
        <v>79</v>
      </c>
      <c r="B17" s="9">
        <v>100</v>
      </c>
      <c r="C17" s="9">
        <v>100</v>
      </c>
      <c r="D17" s="9">
        <v>100</v>
      </c>
      <c r="E17" s="9"/>
      <c r="F17" s="9"/>
      <c r="G17" s="9"/>
      <c r="H17" s="9"/>
      <c r="I17" s="9"/>
      <c r="J17" s="9"/>
      <c r="K17" s="9"/>
      <c r="L17" s="9"/>
      <c r="M17" s="9"/>
      <c r="N17" s="9">
        <f>SUM(tblHome[[#This Row],[Jan]:[Dec]])</f>
        <v>300</v>
      </c>
      <c r="O17" s="9"/>
    </row>
    <row r="18" spans="1:15" x14ac:dyDescent="0.25">
      <c r="A18" t="s">
        <v>80</v>
      </c>
      <c r="B18" s="9">
        <v>100</v>
      </c>
      <c r="C18" s="9">
        <v>100</v>
      </c>
      <c r="D18" s="9">
        <v>100</v>
      </c>
      <c r="E18" s="9"/>
      <c r="F18" s="9"/>
      <c r="G18" s="9"/>
      <c r="H18" s="9"/>
      <c r="I18" s="9"/>
      <c r="J18" s="9"/>
      <c r="K18" s="9"/>
      <c r="L18" s="9"/>
      <c r="M18" s="9"/>
      <c r="N18" s="9">
        <f>SUM(tblHome[[#This Row],[Jan]:[Dec]])</f>
        <v>300</v>
      </c>
      <c r="O18" s="9"/>
    </row>
    <row r="19" spans="1:15" x14ac:dyDescent="0.25">
      <c r="A19" t="s">
        <v>81</v>
      </c>
      <c r="B19" s="9">
        <v>15</v>
      </c>
      <c r="C19" s="9">
        <v>15</v>
      </c>
      <c r="D19" s="9">
        <v>15</v>
      </c>
      <c r="E19" s="9"/>
      <c r="F19" s="9"/>
      <c r="G19" s="9"/>
      <c r="H19" s="9"/>
      <c r="I19" s="9"/>
      <c r="J19" s="9"/>
      <c r="K19" s="9"/>
      <c r="L19" s="9"/>
      <c r="M19" s="9"/>
      <c r="N19" s="9">
        <f>SUM(tblHome[[#This Row],[Jan]:[Dec]])</f>
        <v>45</v>
      </c>
      <c r="O19" s="9"/>
    </row>
    <row r="20" spans="1:15" x14ac:dyDescent="0.25">
      <c r="A20" t="s">
        <v>82</v>
      </c>
      <c r="B20" s="9">
        <v>75</v>
      </c>
      <c r="C20" s="9">
        <v>75</v>
      </c>
      <c r="D20" s="9">
        <v>75</v>
      </c>
      <c r="E20" s="9"/>
      <c r="F20" s="9"/>
      <c r="G20" s="9"/>
      <c r="H20" s="9"/>
      <c r="I20" s="9"/>
      <c r="J20" s="9"/>
      <c r="K20" s="9"/>
      <c r="L20" s="9"/>
      <c r="M20" s="9"/>
      <c r="N20" s="9">
        <f>SUM(tblHome[[#This Row],[Jan]:[Dec]])</f>
        <v>225</v>
      </c>
      <c r="O20" s="9"/>
    </row>
    <row r="21" spans="1:15" x14ac:dyDescent="0.25">
      <c r="A21" t="s">
        <v>83</v>
      </c>
      <c r="B21" s="9">
        <v>30</v>
      </c>
      <c r="C21" s="9">
        <v>30</v>
      </c>
      <c r="D21" s="9">
        <v>30</v>
      </c>
      <c r="E21" s="9"/>
      <c r="F21" s="9"/>
      <c r="G21" s="9"/>
      <c r="H21" s="9"/>
      <c r="I21" s="9"/>
      <c r="J21" s="9"/>
      <c r="K21" s="9"/>
      <c r="L21" s="9"/>
      <c r="M21" s="9"/>
      <c r="N21" s="9">
        <f>SUM(tblHome[[#This Row],[Jan]:[Dec]])</f>
        <v>90</v>
      </c>
      <c r="O21" s="9"/>
    </row>
    <row r="22" spans="1:15" x14ac:dyDescent="0.25">
      <c r="A22" t="s">
        <v>84</v>
      </c>
      <c r="B22" s="9">
        <v>0</v>
      </c>
      <c r="C22" s="9">
        <v>0</v>
      </c>
      <c r="D22" s="9">
        <v>0</v>
      </c>
      <c r="E22" s="9"/>
      <c r="F22" s="9"/>
      <c r="G22" s="9"/>
      <c r="H22" s="9"/>
      <c r="I22" s="9"/>
      <c r="J22" s="9"/>
      <c r="K22" s="9"/>
      <c r="L22" s="9"/>
      <c r="M22" s="9"/>
      <c r="N22" s="9">
        <f>SUM(tblHome[[#This Row],[Jan]:[Dec]])</f>
        <v>0</v>
      </c>
      <c r="O22" s="9"/>
    </row>
    <row r="23" spans="1:15" x14ac:dyDescent="0.25">
      <c r="A23" t="s">
        <v>85</v>
      </c>
      <c r="B23" s="9">
        <v>0</v>
      </c>
      <c r="C23" s="9">
        <v>25</v>
      </c>
      <c r="D23" s="9">
        <v>0</v>
      </c>
      <c r="E23" s="9"/>
      <c r="F23" s="9"/>
      <c r="G23" s="9"/>
      <c r="H23" s="9"/>
      <c r="I23" s="9"/>
      <c r="J23" s="9"/>
      <c r="K23" s="9"/>
      <c r="L23" s="9"/>
      <c r="M23" s="9"/>
      <c r="N23" s="9">
        <f>SUM(tblHome[[#This Row],[Jan]:[Dec]])</f>
        <v>25</v>
      </c>
      <c r="O23" s="9"/>
    </row>
    <row r="24" spans="1:15" x14ac:dyDescent="0.25">
      <c r="A24" t="s">
        <v>88</v>
      </c>
      <c r="B24" s="9">
        <v>45</v>
      </c>
      <c r="C24" s="9">
        <v>0</v>
      </c>
      <c r="D24" s="9">
        <v>15</v>
      </c>
      <c r="E24" s="9"/>
      <c r="F24" s="9"/>
      <c r="G24" s="9"/>
      <c r="H24" s="9"/>
      <c r="I24" s="9"/>
      <c r="J24" s="9"/>
      <c r="K24" s="9"/>
      <c r="L24" s="9"/>
      <c r="M24" s="9"/>
      <c r="N24" s="9">
        <f>SUM(tblHome[[#This Row],[Jan]:[Dec]])</f>
        <v>60</v>
      </c>
      <c r="O24" s="9"/>
    </row>
    <row r="25" spans="1:15" x14ac:dyDescent="0.25">
      <c r="A25" t="s">
        <v>45</v>
      </c>
      <c r="B25" s="9">
        <f>SUBTOTAL(109,tblHome[Jan])</f>
        <v>1705</v>
      </c>
      <c r="C25" s="9">
        <f>SUBTOTAL(109,tblHome[Feb])</f>
        <v>1560</v>
      </c>
      <c r="D25" s="9">
        <f>SUBTOTAL(109,tblHome[March])</f>
        <v>1825</v>
      </c>
      <c r="E25" s="9">
        <f>SUBTOTAL(109,tblHome[April])</f>
        <v>0</v>
      </c>
      <c r="F25" s="9">
        <f>SUBTOTAL(109,tblHome[May])</f>
        <v>0</v>
      </c>
      <c r="G25" s="9">
        <f>SUBTOTAL(109,tblHome[June])</f>
        <v>0</v>
      </c>
      <c r="H25" s="9">
        <f>SUBTOTAL(109,tblHome[July])</f>
        <v>0</v>
      </c>
      <c r="I25" s="9">
        <f>SUBTOTAL(109,tblHome[Aug])</f>
        <v>0</v>
      </c>
      <c r="J25" s="9">
        <f>SUBTOTAL(109,tblHome[Sept])</f>
        <v>0</v>
      </c>
      <c r="K25" s="9">
        <f>SUBTOTAL(109,tblHome[Oct])</f>
        <v>0</v>
      </c>
      <c r="L25" s="9">
        <f>SUBTOTAL(109,tblHome[Nov])</f>
        <v>0</v>
      </c>
      <c r="M25" s="9">
        <f>SUBTOTAL(109,tblHome[Dec])</f>
        <v>0</v>
      </c>
      <c r="N25" s="9">
        <f>SUBTOTAL(109,tblHome[Year])</f>
        <v>5090</v>
      </c>
      <c r="O25" s="6"/>
    </row>
    <row r="26" spans="1:1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ht="14.4" x14ac:dyDescent="0.25">
      <c r="A27" s="5" t="s">
        <v>50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x14ac:dyDescent="0.25">
      <c r="A28" t="s">
        <v>3</v>
      </c>
      <c r="B28" s="9">
        <v>191</v>
      </c>
      <c r="C28" s="9">
        <v>152</v>
      </c>
      <c r="D28" s="9">
        <v>145</v>
      </c>
      <c r="E28" s="9"/>
      <c r="F28" s="9"/>
      <c r="G28" s="9"/>
      <c r="H28" s="9"/>
      <c r="I28" s="9"/>
      <c r="J28" s="9"/>
      <c r="K28" s="9"/>
      <c r="L28" s="9"/>
      <c r="M28" s="9"/>
      <c r="N28" s="9">
        <f>SUM(tblDaily[[#This Row],[Jan]:[Dec]])</f>
        <v>488</v>
      </c>
      <c r="O28" s="9"/>
    </row>
    <row r="29" spans="1:15" x14ac:dyDescent="0.25">
      <c r="A29" t="s">
        <v>6</v>
      </c>
      <c r="B29" s="9">
        <v>125</v>
      </c>
      <c r="C29" s="9">
        <v>120</v>
      </c>
      <c r="D29" s="9">
        <v>130</v>
      </c>
      <c r="E29" s="9"/>
      <c r="F29" s="9"/>
      <c r="G29" s="9"/>
      <c r="H29" s="9"/>
      <c r="I29" s="9"/>
      <c r="J29" s="9"/>
      <c r="K29" s="9"/>
      <c r="L29" s="9"/>
      <c r="M29" s="9"/>
      <c r="N29" s="9">
        <f>SUM(tblDaily[[#This Row],[Jan]:[Dec]])</f>
        <v>375</v>
      </c>
      <c r="O29" s="9"/>
    </row>
    <row r="30" spans="1:15" x14ac:dyDescent="0.25">
      <c r="A30" t="s">
        <v>95</v>
      </c>
      <c r="B30" s="9">
        <v>70</v>
      </c>
      <c r="C30" s="9">
        <v>70</v>
      </c>
      <c r="D30" s="9">
        <v>70</v>
      </c>
      <c r="E30" s="9"/>
      <c r="F30" s="9"/>
      <c r="G30" s="9"/>
      <c r="H30" s="9"/>
      <c r="I30" s="9"/>
      <c r="J30" s="9"/>
      <c r="K30" s="9"/>
      <c r="L30" s="9"/>
      <c r="M30" s="9"/>
      <c r="N30" s="9">
        <f>SUM(tblDaily[[#This Row],[Jan]:[Dec]])</f>
        <v>210</v>
      </c>
      <c r="O30" s="9"/>
    </row>
    <row r="31" spans="1:15" x14ac:dyDescent="0.25">
      <c r="A31" t="s">
        <v>4</v>
      </c>
      <c r="B31" s="9">
        <v>200</v>
      </c>
      <c r="C31" s="9">
        <v>200</v>
      </c>
      <c r="D31" s="9">
        <v>200</v>
      </c>
      <c r="E31" s="9"/>
      <c r="F31" s="9"/>
      <c r="G31" s="9"/>
      <c r="H31" s="9"/>
      <c r="I31" s="9"/>
      <c r="J31" s="9"/>
      <c r="K31" s="9"/>
      <c r="L31" s="9"/>
      <c r="M31" s="9"/>
      <c r="N31" s="9">
        <f>SUM(tblDaily[[#This Row],[Jan]:[Dec]])</f>
        <v>600</v>
      </c>
      <c r="O31" s="9"/>
    </row>
    <row r="32" spans="1:15" x14ac:dyDescent="0.25">
      <c r="A32" t="s">
        <v>5</v>
      </c>
      <c r="B32" s="9">
        <v>40</v>
      </c>
      <c r="C32" s="9">
        <v>0</v>
      </c>
      <c r="D32" s="9">
        <v>40</v>
      </c>
      <c r="E32" s="9"/>
      <c r="F32" s="9"/>
      <c r="G32" s="9"/>
      <c r="H32" s="9"/>
      <c r="I32" s="9"/>
      <c r="J32" s="9"/>
      <c r="K32" s="9"/>
      <c r="L32" s="9"/>
      <c r="M32" s="9"/>
      <c r="N32" s="9">
        <f>SUM(tblDaily[[#This Row],[Jan]:[Dec]])</f>
        <v>80</v>
      </c>
      <c r="O32" s="9"/>
    </row>
    <row r="33" spans="1:15" x14ac:dyDescent="0.25">
      <c r="A33" t="s">
        <v>7</v>
      </c>
      <c r="B33" s="9">
        <v>10</v>
      </c>
      <c r="C33" s="9">
        <v>5</v>
      </c>
      <c r="D33" s="9">
        <v>7</v>
      </c>
      <c r="E33" s="9"/>
      <c r="F33" s="9"/>
      <c r="G33" s="9"/>
      <c r="H33" s="9"/>
      <c r="I33" s="9"/>
      <c r="J33" s="9"/>
      <c r="K33" s="9"/>
      <c r="L33" s="9"/>
      <c r="M33" s="9"/>
      <c r="N33" s="9">
        <f>SUM(tblDaily[[#This Row],[Jan]:[Dec]])</f>
        <v>22</v>
      </c>
      <c r="O33" s="9"/>
    </row>
    <row r="34" spans="1:15" x14ac:dyDescent="0.25">
      <c r="A34" t="s">
        <v>45</v>
      </c>
      <c r="B34" s="9">
        <f>SUBTOTAL(109,tblDaily[Jan])</f>
        <v>636</v>
      </c>
      <c r="C34" s="9">
        <f>SUBTOTAL(109,tblDaily[Feb])</f>
        <v>547</v>
      </c>
      <c r="D34" s="9">
        <f>SUBTOTAL(109,tblDaily[March])</f>
        <v>592</v>
      </c>
      <c r="E34" s="9">
        <f>SUBTOTAL(109,tblDaily[April])</f>
        <v>0</v>
      </c>
      <c r="F34" s="9">
        <f>SUBTOTAL(109,tblDaily[May])</f>
        <v>0</v>
      </c>
      <c r="G34" s="9">
        <f>SUBTOTAL(109,tblDaily[June])</f>
        <v>0</v>
      </c>
      <c r="H34" s="9">
        <f>SUBTOTAL(109,tblDaily[July])</f>
        <v>0</v>
      </c>
      <c r="I34" s="9">
        <f>SUBTOTAL(109,tblDaily[Aug])</f>
        <v>0</v>
      </c>
      <c r="J34" s="9">
        <f>SUBTOTAL(109,tblDaily[Sept])</f>
        <v>0</v>
      </c>
      <c r="K34" s="9">
        <f>SUBTOTAL(109,tblDaily[Oct])</f>
        <v>0</v>
      </c>
      <c r="L34" s="9">
        <f>SUBTOTAL(109,tblDaily[Nov])</f>
        <v>0</v>
      </c>
      <c r="M34" s="9">
        <f>SUBTOTAL(109,tblDaily[Dec])</f>
        <v>0</v>
      </c>
      <c r="N34" s="9">
        <f>SUBTOTAL(109,tblDaily[Year])</f>
        <v>1775</v>
      </c>
      <c r="O34" s="6"/>
    </row>
    <row r="35" spans="1:15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ht="14.4" x14ac:dyDescent="0.25">
      <c r="A36" s="5" t="s">
        <v>49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x14ac:dyDescent="0.25">
      <c r="A37" t="s">
        <v>90</v>
      </c>
      <c r="B37" s="9">
        <v>310</v>
      </c>
      <c r="C37" s="9">
        <v>310</v>
      </c>
      <c r="D37" s="9">
        <v>310</v>
      </c>
      <c r="E37" s="9"/>
      <c r="F37" s="9"/>
      <c r="G37" s="9"/>
      <c r="H37" s="9"/>
      <c r="I37" s="9"/>
      <c r="J37" s="9"/>
      <c r="K37" s="9"/>
      <c r="L37" s="9"/>
      <c r="M37" s="9"/>
      <c r="N37" s="9">
        <f>SUM(tblTransportation[[#This Row],[Jan]:[Dec]])</f>
        <v>930</v>
      </c>
      <c r="O37" s="9"/>
    </row>
    <row r="38" spans="1:15" x14ac:dyDescent="0.25">
      <c r="A38" t="s">
        <v>8</v>
      </c>
      <c r="B38" s="9">
        <v>195</v>
      </c>
      <c r="C38" s="9">
        <v>125</v>
      </c>
      <c r="D38" s="9">
        <v>171</v>
      </c>
      <c r="E38" s="9"/>
      <c r="F38" s="9"/>
      <c r="G38" s="9"/>
      <c r="H38" s="9"/>
      <c r="I38" s="9"/>
      <c r="J38" s="9"/>
      <c r="K38" s="9"/>
      <c r="L38" s="9"/>
      <c r="M38" s="9"/>
      <c r="N38" s="9">
        <f>SUM(tblTransportation[[#This Row],[Jan]:[Dec]])</f>
        <v>491</v>
      </c>
      <c r="O38" s="9"/>
    </row>
    <row r="39" spans="1:15" x14ac:dyDescent="0.25">
      <c r="A39" t="s">
        <v>89</v>
      </c>
      <c r="B39" s="9">
        <v>0</v>
      </c>
      <c r="C39" s="9">
        <v>85</v>
      </c>
      <c r="D39" s="9">
        <v>0</v>
      </c>
      <c r="E39" s="9"/>
      <c r="F39" s="9"/>
      <c r="G39" s="9"/>
      <c r="H39" s="9"/>
      <c r="I39" s="9"/>
      <c r="J39" s="9"/>
      <c r="K39" s="9"/>
      <c r="L39" s="9"/>
      <c r="M39" s="9"/>
      <c r="N39" s="9">
        <f>SUM(tblTransportation[[#This Row],[Jan]:[Dec]])</f>
        <v>85</v>
      </c>
      <c r="O39" s="9"/>
    </row>
    <row r="40" spans="1:15" x14ac:dyDescent="0.25">
      <c r="A40" t="s">
        <v>9</v>
      </c>
      <c r="B40" s="9">
        <v>165</v>
      </c>
      <c r="C40" s="9">
        <v>165</v>
      </c>
      <c r="D40" s="9">
        <v>165</v>
      </c>
      <c r="E40" s="9"/>
      <c r="F40" s="9"/>
      <c r="G40" s="9"/>
      <c r="H40" s="9"/>
      <c r="I40" s="9"/>
      <c r="J40" s="9"/>
      <c r="K40" s="9"/>
      <c r="L40" s="9"/>
      <c r="M40" s="9"/>
      <c r="N40" s="9">
        <f>SUM(tblTransportation[[#This Row],[Jan]:[Dec]])</f>
        <v>495</v>
      </c>
      <c r="O40" s="9"/>
    </row>
    <row r="41" spans="1:15" x14ac:dyDescent="0.25">
      <c r="A41" t="s">
        <v>91</v>
      </c>
      <c r="B41" s="9">
        <v>45</v>
      </c>
      <c r="C41" s="9">
        <v>0</v>
      </c>
      <c r="D41" s="9">
        <v>0</v>
      </c>
      <c r="E41" s="9"/>
      <c r="F41" s="9"/>
      <c r="G41" s="9"/>
      <c r="H41" s="9"/>
      <c r="I41" s="9"/>
      <c r="J41" s="9"/>
      <c r="K41" s="9"/>
      <c r="L41" s="9"/>
      <c r="M41" s="9"/>
      <c r="N41" s="9">
        <f>SUM(tblTransportation[[#This Row],[Jan]:[Dec]])</f>
        <v>45</v>
      </c>
      <c r="O41" s="9"/>
    </row>
    <row r="42" spans="1:15" x14ac:dyDescent="0.25">
      <c r="A42" t="s">
        <v>10</v>
      </c>
      <c r="B42" s="9">
        <v>10</v>
      </c>
      <c r="C42" s="9">
        <v>10</v>
      </c>
      <c r="D42" s="9">
        <v>10</v>
      </c>
      <c r="E42" s="9"/>
      <c r="F42" s="9"/>
      <c r="G42" s="9"/>
      <c r="H42" s="9"/>
      <c r="I42" s="9"/>
      <c r="J42" s="9"/>
      <c r="K42" s="9"/>
      <c r="L42" s="9"/>
      <c r="M42" s="9"/>
      <c r="N42" s="9">
        <f>SUM(tblTransportation[[#This Row],[Jan]:[Dec]])</f>
        <v>30</v>
      </c>
      <c r="O42" s="9"/>
    </row>
    <row r="43" spans="1:15" x14ac:dyDescent="0.25">
      <c r="A43" t="s">
        <v>11</v>
      </c>
      <c r="B43" s="9">
        <v>10</v>
      </c>
      <c r="C43" s="9">
        <v>40</v>
      </c>
      <c r="D43" s="9">
        <v>20</v>
      </c>
      <c r="E43" s="9"/>
      <c r="F43" s="9"/>
      <c r="G43" s="9"/>
      <c r="H43" s="9"/>
      <c r="I43" s="9"/>
      <c r="J43" s="9"/>
      <c r="K43" s="9"/>
      <c r="L43" s="9"/>
      <c r="M43" s="9"/>
      <c r="N43" s="9">
        <f>SUM(tblTransportation[[#This Row],[Jan]:[Dec]])</f>
        <v>70</v>
      </c>
      <c r="O43" s="9"/>
    </row>
    <row r="44" spans="1:15" x14ac:dyDescent="0.25">
      <c r="A44" t="s">
        <v>12</v>
      </c>
      <c r="B44" s="9">
        <v>20</v>
      </c>
      <c r="C44" s="9">
        <v>40</v>
      </c>
      <c r="D44" s="9">
        <v>30</v>
      </c>
      <c r="E44" s="9"/>
      <c r="F44" s="9"/>
      <c r="G44" s="9"/>
      <c r="H44" s="9"/>
      <c r="I44" s="9"/>
      <c r="J44" s="9"/>
      <c r="K44" s="9"/>
      <c r="L44" s="9"/>
      <c r="M44" s="9"/>
      <c r="N44" s="9">
        <f>SUM(tblTransportation[[#This Row],[Jan]:[Dec]])</f>
        <v>90</v>
      </c>
      <c r="O44" s="9"/>
    </row>
    <row r="45" spans="1:15" x14ac:dyDescent="0.25">
      <c r="A45" t="s">
        <v>45</v>
      </c>
      <c r="B45" s="9">
        <f>SUBTOTAL(109,tblTransportation[Jan])</f>
        <v>755</v>
      </c>
      <c r="C45" s="9">
        <f>SUBTOTAL(109,tblTransportation[Feb])</f>
        <v>775</v>
      </c>
      <c r="D45" s="9">
        <f>SUBTOTAL(109,tblTransportation[March])</f>
        <v>706</v>
      </c>
      <c r="E45" s="9">
        <f>SUBTOTAL(109,tblTransportation[April])</f>
        <v>0</v>
      </c>
      <c r="F45" s="9">
        <f>SUBTOTAL(109,tblTransportation[May])</f>
        <v>0</v>
      </c>
      <c r="G45" s="9">
        <f>SUBTOTAL(109,tblTransportation[June])</f>
        <v>0</v>
      </c>
      <c r="H45" s="9">
        <f>SUBTOTAL(109,tblTransportation[July])</f>
        <v>0</v>
      </c>
      <c r="I45" s="9">
        <f>SUBTOTAL(109,tblTransportation[Aug])</f>
        <v>0</v>
      </c>
      <c r="J45" s="9">
        <f>SUBTOTAL(109,tblTransportation[Sept])</f>
        <v>0</v>
      </c>
      <c r="K45" s="9">
        <f>SUBTOTAL(109,tblTransportation[Oct])</f>
        <v>0</v>
      </c>
      <c r="L45" s="9">
        <f>SUBTOTAL(109,tblTransportation[Nov])</f>
        <v>0</v>
      </c>
      <c r="M45" s="9">
        <f>SUBTOTAL(109,tblTransportation[Dec])</f>
        <v>0</v>
      </c>
      <c r="N45" s="9">
        <f>SUBTOTAL(109,tblTransportation[Year])</f>
        <v>2236</v>
      </c>
      <c r="O45" s="6"/>
    </row>
    <row r="46" spans="1:15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1:15" ht="14.4" x14ac:dyDescent="0.25">
      <c r="A47" s="5" t="s">
        <v>51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x14ac:dyDescent="0.25">
      <c r="A48" t="s">
        <v>92</v>
      </c>
      <c r="B48" s="9">
        <v>85</v>
      </c>
      <c r="C48" s="9">
        <v>85</v>
      </c>
      <c r="D48" s="9">
        <v>85</v>
      </c>
      <c r="E48" s="9"/>
      <c r="F48" s="9"/>
      <c r="G48" s="9"/>
      <c r="H48" s="9"/>
      <c r="I48" s="9"/>
      <c r="J48" s="9"/>
      <c r="K48" s="9"/>
      <c r="L48" s="9"/>
      <c r="M48" s="9"/>
      <c r="N48" s="9">
        <f>SUM(tblEntertainment[[#This Row],[Jan]:[Dec]])</f>
        <v>255</v>
      </c>
      <c r="O48" s="9"/>
    </row>
    <row r="49" spans="1:15" x14ac:dyDescent="0.25">
      <c r="A49" t="s">
        <v>93</v>
      </c>
      <c r="B49" s="9">
        <v>15</v>
      </c>
      <c r="C49" s="9">
        <v>9</v>
      </c>
      <c r="D49" s="9">
        <v>15</v>
      </c>
      <c r="E49" s="9"/>
      <c r="F49" s="9"/>
      <c r="G49" s="9"/>
      <c r="H49" s="9"/>
      <c r="I49" s="9"/>
      <c r="J49" s="9"/>
      <c r="K49" s="9"/>
      <c r="L49" s="9"/>
      <c r="M49" s="9"/>
      <c r="N49" s="9">
        <f>SUM(tblEntertainment[[#This Row],[Jan]:[Dec]])</f>
        <v>39</v>
      </c>
      <c r="O49" s="9"/>
    </row>
    <row r="50" spans="1:15" x14ac:dyDescent="0.25">
      <c r="A50" t="s">
        <v>13</v>
      </c>
      <c r="B50" s="9">
        <v>9</v>
      </c>
      <c r="C50" s="9">
        <v>5</v>
      </c>
      <c r="D50" s="9">
        <v>9</v>
      </c>
      <c r="E50" s="9"/>
      <c r="F50" s="9"/>
      <c r="G50" s="9"/>
      <c r="H50" s="9"/>
      <c r="I50" s="9"/>
      <c r="J50" s="9"/>
      <c r="K50" s="9"/>
      <c r="L50" s="9"/>
      <c r="M50" s="9"/>
      <c r="N50" s="9">
        <f>SUM(tblEntertainment[[#This Row],[Jan]:[Dec]])</f>
        <v>23</v>
      </c>
      <c r="O50" s="9"/>
    </row>
    <row r="51" spans="1:15" x14ac:dyDescent="0.25">
      <c r="A51" t="s">
        <v>14</v>
      </c>
      <c r="B51" s="9">
        <v>5</v>
      </c>
      <c r="C51" s="9">
        <v>5</v>
      </c>
      <c r="D51" s="9">
        <v>7</v>
      </c>
      <c r="E51" s="9"/>
      <c r="F51" s="9"/>
      <c r="G51" s="9"/>
      <c r="H51" s="9"/>
      <c r="I51" s="9"/>
      <c r="J51" s="9"/>
      <c r="K51" s="9"/>
      <c r="L51" s="9"/>
      <c r="M51" s="9"/>
      <c r="N51" s="9">
        <f>SUM(tblEntertainment[[#This Row],[Jan]:[Dec]])</f>
        <v>17</v>
      </c>
      <c r="O51" s="9"/>
    </row>
    <row r="52" spans="1:15" x14ac:dyDescent="0.25">
      <c r="A52" t="s">
        <v>45</v>
      </c>
      <c r="B52" s="9">
        <f>SUBTOTAL(109,tblEntertainment[Jan])</f>
        <v>114</v>
      </c>
      <c r="C52" s="9">
        <f>SUBTOTAL(109,tblEntertainment[Feb])</f>
        <v>104</v>
      </c>
      <c r="D52" s="9">
        <f>SUBTOTAL(109,tblEntertainment[March])</f>
        <v>116</v>
      </c>
      <c r="E52" s="9">
        <f>SUBTOTAL(109,tblEntertainment[April])</f>
        <v>0</v>
      </c>
      <c r="F52" s="9">
        <f>SUBTOTAL(109,tblEntertainment[May])</f>
        <v>0</v>
      </c>
      <c r="G52" s="9">
        <f>SUBTOTAL(109,tblEntertainment[June])</f>
        <v>0</v>
      </c>
      <c r="H52" s="9">
        <f>SUBTOTAL(109,tblEntertainment[July])</f>
        <v>0</v>
      </c>
      <c r="I52" s="9">
        <f>SUBTOTAL(109,tblEntertainment[Aug])</f>
        <v>0</v>
      </c>
      <c r="J52" s="9">
        <f>SUBTOTAL(109,tblEntertainment[Sept])</f>
        <v>0</v>
      </c>
      <c r="K52" s="9">
        <f>SUBTOTAL(109,tblEntertainment[Oct])</f>
        <v>0</v>
      </c>
      <c r="L52" s="9">
        <f>SUBTOTAL(109,tblEntertainment[Nov])</f>
        <v>0</v>
      </c>
      <c r="M52" s="9">
        <f>SUBTOTAL(109,tblEntertainment[Dec])</f>
        <v>0</v>
      </c>
      <c r="N52" s="9">
        <f>SUBTOTAL(109,tblEntertainment[Year])</f>
        <v>334</v>
      </c>
      <c r="O52" s="6"/>
    </row>
    <row r="53" spans="1:15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  <row r="54" spans="1:15" ht="14.4" x14ac:dyDescent="0.25">
      <c r="A54" s="5" t="s">
        <v>52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</row>
    <row r="55" spans="1:15" x14ac:dyDescent="0.25">
      <c r="A55" t="s">
        <v>15</v>
      </c>
      <c r="B55" s="9">
        <v>50</v>
      </c>
      <c r="C55" s="9">
        <v>50</v>
      </c>
      <c r="D55" s="9">
        <v>50</v>
      </c>
      <c r="E55" s="9"/>
      <c r="F55" s="9"/>
      <c r="G55" s="9"/>
      <c r="H55" s="9"/>
      <c r="I55" s="9"/>
      <c r="J55" s="9"/>
      <c r="K55" s="9"/>
      <c r="L55" s="9"/>
      <c r="M55" s="9"/>
      <c r="N55" s="9">
        <f>SUM(tblHealth[[#This Row],[Jan]:[Dec]])</f>
        <v>150</v>
      </c>
      <c r="O55" s="9"/>
    </row>
    <row r="56" spans="1:15" x14ac:dyDescent="0.25">
      <c r="A56" t="s">
        <v>9</v>
      </c>
      <c r="B56" s="9">
        <v>225</v>
      </c>
      <c r="C56" s="9">
        <v>225</v>
      </c>
      <c r="D56" s="9">
        <v>225</v>
      </c>
      <c r="E56" s="9"/>
      <c r="F56" s="9"/>
      <c r="G56" s="9"/>
      <c r="H56" s="9"/>
      <c r="I56" s="9"/>
      <c r="J56" s="9"/>
      <c r="K56" s="9"/>
      <c r="L56" s="9"/>
      <c r="M56" s="9"/>
      <c r="N56" s="9">
        <f>SUM(tblHealth[[#This Row],[Jan]:[Dec]])</f>
        <v>675</v>
      </c>
      <c r="O56" s="9"/>
    </row>
    <row r="57" spans="1:15" x14ac:dyDescent="0.25">
      <c r="A57" t="s">
        <v>16</v>
      </c>
      <c r="B57" s="9">
        <v>100</v>
      </c>
      <c r="C57" s="9">
        <v>100</v>
      </c>
      <c r="D57" s="9">
        <v>100</v>
      </c>
      <c r="E57" s="9"/>
      <c r="F57" s="9"/>
      <c r="G57" s="9"/>
      <c r="H57" s="9"/>
      <c r="I57" s="9"/>
      <c r="J57" s="9"/>
      <c r="K57" s="9"/>
      <c r="L57" s="9"/>
      <c r="M57" s="9"/>
      <c r="N57" s="9">
        <f>SUM(tblHealth[[#This Row],[Jan]:[Dec]])</f>
        <v>300</v>
      </c>
      <c r="O57" s="9"/>
    </row>
    <row r="58" spans="1:15" x14ac:dyDescent="0.25">
      <c r="A58" t="s">
        <v>17</v>
      </c>
      <c r="B58" s="9">
        <v>6</v>
      </c>
      <c r="C58" s="9">
        <v>2</v>
      </c>
      <c r="D58" s="9">
        <v>9</v>
      </c>
      <c r="E58" s="9"/>
      <c r="F58" s="9"/>
      <c r="G58" s="9"/>
      <c r="H58" s="9"/>
      <c r="I58" s="9"/>
      <c r="J58" s="9"/>
      <c r="K58" s="9"/>
      <c r="L58" s="9"/>
      <c r="M58" s="9"/>
      <c r="N58" s="9">
        <f>SUM(tblHealth[[#This Row],[Jan]:[Dec]])</f>
        <v>17</v>
      </c>
      <c r="O58" s="9"/>
    </row>
    <row r="59" spans="1:15" x14ac:dyDescent="0.25">
      <c r="A59" t="s">
        <v>18</v>
      </c>
      <c r="B59" s="9">
        <v>20</v>
      </c>
      <c r="C59" s="9"/>
      <c r="D59" s="9">
        <v>41</v>
      </c>
      <c r="E59" s="9"/>
      <c r="F59" s="9"/>
      <c r="G59" s="9"/>
      <c r="H59" s="9"/>
      <c r="I59" s="9"/>
      <c r="J59" s="9"/>
      <c r="K59" s="9"/>
      <c r="L59" s="9"/>
      <c r="M59" s="9"/>
      <c r="N59" s="9">
        <f>SUM(tblHealth[[#This Row],[Jan]:[Dec]])</f>
        <v>61</v>
      </c>
      <c r="O59" s="9"/>
    </row>
    <row r="60" spans="1:15" x14ac:dyDescent="0.25">
      <c r="A60" t="s">
        <v>96</v>
      </c>
      <c r="B60" s="9">
        <v>40</v>
      </c>
      <c r="C60" s="9">
        <v>0</v>
      </c>
      <c r="D60" s="9">
        <v>200</v>
      </c>
      <c r="E60" s="9"/>
      <c r="F60" s="9"/>
      <c r="G60" s="9"/>
      <c r="H60" s="9"/>
      <c r="I60" s="9"/>
      <c r="J60" s="9"/>
      <c r="K60" s="9"/>
      <c r="L60" s="9"/>
      <c r="M60" s="9"/>
      <c r="N60" s="9">
        <f>SUM(tblHealth[[#This Row],[Jan]:[Dec]])</f>
        <v>240</v>
      </c>
      <c r="O60" s="9"/>
    </row>
    <row r="61" spans="1:15" x14ac:dyDescent="0.25">
      <c r="A61" t="s">
        <v>19</v>
      </c>
      <c r="B61" s="9">
        <v>4</v>
      </c>
      <c r="C61" s="9"/>
      <c r="D61" s="9">
        <v>25</v>
      </c>
      <c r="E61" s="9"/>
      <c r="F61" s="9"/>
      <c r="G61" s="9"/>
      <c r="H61" s="9"/>
      <c r="I61" s="9"/>
      <c r="J61" s="9"/>
      <c r="K61" s="9"/>
      <c r="L61" s="9"/>
      <c r="M61" s="9"/>
      <c r="N61" s="9">
        <f>SUM(tblHealth[[#This Row],[Jan]:[Dec]])</f>
        <v>29</v>
      </c>
      <c r="O61" s="9"/>
    </row>
    <row r="62" spans="1:15" x14ac:dyDescent="0.25">
      <c r="A62" t="s">
        <v>20</v>
      </c>
      <c r="B62" s="9">
        <v>55</v>
      </c>
      <c r="C62" s="9">
        <v>55</v>
      </c>
      <c r="D62" s="9">
        <v>55</v>
      </c>
      <c r="E62" s="9"/>
      <c r="F62" s="9"/>
      <c r="G62" s="9"/>
      <c r="H62" s="9"/>
      <c r="I62" s="9"/>
      <c r="J62" s="9"/>
      <c r="K62" s="9"/>
      <c r="L62" s="9"/>
      <c r="M62" s="9"/>
      <c r="N62" s="9">
        <f>SUM(tblHealth[[#This Row],[Jan]:[Dec]])</f>
        <v>165</v>
      </c>
      <c r="O62" s="9"/>
    </row>
    <row r="63" spans="1:15" x14ac:dyDescent="0.25">
      <c r="A63" t="s">
        <v>45</v>
      </c>
      <c r="B63" s="9">
        <f>SUBTOTAL(109,tblHealth[Jan])</f>
        <v>500</v>
      </c>
      <c r="C63" s="9">
        <f>SUBTOTAL(109,tblHealth[Feb])</f>
        <v>432</v>
      </c>
      <c r="D63" s="9">
        <f>SUBTOTAL(109,tblHealth[March])</f>
        <v>705</v>
      </c>
      <c r="E63" s="9">
        <f>SUBTOTAL(109,tblHealth[April])</f>
        <v>0</v>
      </c>
      <c r="F63" s="9">
        <f>SUBTOTAL(109,tblHealth[May])</f>
        <v>0</v>
      </c>
      <c r="G63" s="9">
        <f>SUBTOTAL(109,tblHealth[June])</f>
        <v>0</v>
      </c>
      <c r="H63" s="9">
        <f>SUBTOTAL(109,tblHealth[July])</f>
        <v>0</v>
      </c>
      <c r="I63" s="9">
        <f>SUBTOTAL(109,tblHealth[Aug])</f>
        <v>0</v>
      </c>
      <c r="J63" s="9">
        <f>SUBTOTAL(109,tblHealth[Sept])</f>
        <v>0</v>
      </c>
      <c r="K63" s="9">
        <f>SUBTOTAL(109,tblHealth[Oct])</f>
        <v>0</v>
      </c>
      <c r="L63" s="9">
        <f>SUBTOTAL(109,tblHealth[Nov])</f>
        <v>0</v>
      </c>
      <c r="M63" s="9">
        <f>SUBTOTAL(109,tblHealth[Dec])</f>
        <v>0</v>
      </c>
      <c r="N63" s="9">
        <f>SUBTOTAL(109,tblHealth[Year])</f>
        <v>1637</v>
      </c>
      <c r="O63" s="6"/>
    </row>
    <row r="64" spans="1:15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</row>
    <row r="65" spans="1:15" ht="14.4" x14ac:dyDescent="0.25">
      <c r="A65" s="5" t="s">
        <v>53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x14ac:dyDescent="0.25">
      <c r="A66" t="s">
        <v>21</v>
      </c>
      <c r="B66" s="9">
        <v>0</v>
      </c>
      <c r="C66" s="9">
        <v>485</v>
      </c>
      <c r="D66" s="9">
        <v>0</v>
      </c>
      <c r="E66" s="9"/>
      <c r="F66" s="9"/>
      <c r="G66" s="9"/>
      <c r="H66" s="9"/>
      <c r="I66" s="9"/>
      <c r="J66" s="9"/>
      <c r="K66" s="9"/>
      <c r="L66" s="9"/>
      <c r="M66" s="9"/>
      <c r="N66" s="9">
        <f>SUM(tblVacations[[#This Row],[Jan]:[Dec]])</f>
        <v>485</v>
      </c>
      <c r="O66" s="9"/>
    </row>
    <row r="67" spans="1:15" x14ac:dyDescent="0.25">
      <c r="A67" t="s">
        <v>22</v>
      </c>
      <c r="B67" s="9">
        <v>0</v>
      </c>
      <c r="C67" s="9">
        <v>245</v>
      </c>
      <c r="D67" s="9">
        <v>0</v>
      </c>
      <c r="E67" s="9"/>
      <c r="F67" s="9"/>
      <c r="G67" s="9"/>
      <c r="H67" s="9"/>
      <c r="I67" s="9"/>
      <c r="J67" s="9"/>
      <c r="K67" s="9"/>
      <c r="L67" s="9"/>
      <c r="M67" s="9"/>
      <c r="N67" s="9">
        <f>SUM(tblVacations[[#This Row],[Jan]:[Dec]])</f>
        <v>245</v>
      </c>
      <c r="O67" s="9"/>
    </row>
    <row r="68" spans="1:15" x14ac:dyDescent="0.25">
      <c r="A68" t="s">
        <v>23</v>
      </c>
      <c r="B68" s="9">
        <v>0</v>
      </c>
      <c r="C68" s="9">
        <v>95</v>
      </c>
      <c r="D68" s="9">
        <v>0</v>
      </c>
      <c r="E68" s="9"/>
      <c r="F68" s="9"/>
      <c r="G68" s="9"/>
      <c r="H68" s="9"/>
      <c r="I68" s="9"/>
      <c r="J68" s="9"/>
      <c r="K68" s="9"/>
      <c r="L68" s="9"/>
      <c r="M68" s="9"/>
      <c r="N68" s="9">
        <f>SUM(tblVacations[[#This Row],[Jan]:[Dec]])</f>
        <v>95</v>
      </c>
      <c r="O68" s="9"/>
    </row>
    <row r="69" spans="1:15" x14ac:dyDescent="0.25">
      <c r="A69" t="s">
        <v>24</v>
      </c>
      <c r="B69" s="9">
        <v>0</v>
      </c>
      <c r="C69" s="9">
        <v>0</v>
      </c>
      <c r="D69" s="9">
        <v>0</v>
      </c>
      <c r="E69" s="9"/>
      <c r="F69" s="9"/>
      <c r="G69" s="9"/>
      <c r="H69" s="9"/>
      <c r="I69" s="9"/>
      <c r="J69" s="9"/>
      <c r="K69" s="9"/>
      <c r="L69" s="9"/>
      <c r="M69" s="9"/>
      <c r="N69" s="9">
        <f>SUM(tblVacations[[#This Row],[Jan]:[Dec]])</f>
        <v>0</v>
      </c>
      <c r="O69" s="9"/>
    </row>
    <row r="70" spans="1:15" x14ac:dyDescent="0.25">
      <c r="A70" t="s">
        <v>25</v>
      </c>
      <c r="B70" s="9">
        <v>0</v>
      </c>
      <c r="C70" s="9">
        <v>0</v>
      </c>
      <c r="D70" s="9">
        <v>0</v>
      </c>
      <c r="E70" s="9"/>
      <c r="F70" s="9"/>
      <c r="G70" s="9"/>
      <c r="H70" s="9"/>
      <c r="I70" s="9"/>
      <c r="J70" s="9"/>
      <c r="K70" s="9"/>
      <c r="L70" s="9"/>
      <c r="M70" s="9"/>
      <c r="N70" s="9">
        <f>SUM(tblVacations[[#This Row],[Jan]:[Dec]])</f>
        <v>0</v>
      </c>
      <c r="O70" s="9"/>
    </row>
    <row r="71" spans="1:15" x14ac:dyDescent="0.25">
      <c r="A71" t="s">
        <v>26</v>
      </c>
      <c r="B71" s="9">
        <v>0</v>
      </c>
      <c r="C71" s="9">
        <v>85</v>
      </c>
      <c r="D71" s="9">
        <v>0</v>
      </c>
      <c r="E71" s="9"/>
      <c r="F71" s="9"/>
      <c r="G71" s="9"/>
      <c r="H71" s="9"/>
      <c r="I71" s="9"/>
      <c r="J71" s="9"/>
      <c r="K71" s="9"/>
      <c r="L71" s="9"/>
      <c r="M71" s="9"/>
      <c r="N71" s="9">
        <f>SUM(tblVacations[[#This Row],[Jan]:[Dec]])</f>
        <v>85</v>
      </c>
      <c r="O71" s="9"/>
    </row>
    <row r="72" spans="1:15" x14ac:dyDescent="0.25">
      <c r="A72" t="s">
        <v>45</v>
      </c>
      <c r="B72" s="9">
        <f>SUBTOTAL(109,tblVacations[Jan])</f>
        <v>0</v>
      </c>
      <c r="C72" s="9">
        <f>SUBTOTAL(109,tblVacations[Feb])</f>
        <v>910</v>
      </c>
      <c r="D72" s="9">
        <f>SUBTOTAL(109,tblVacations[March])</f>
        <v>0</v>
      </c>
      <c r="E72" s="9">
        <f>SUBTOTAL(109,tblVacations[April])</f>
        <v>0</v>
      </c>
      <c r="F72" s="9">
        <f>SUBTOTAL(109,tblVacations[May])</f>
        <v>0</v>
      </c>
      <c r="G72" s="9">
        <f>SUBTOTAL(109,tblVacations[June])</f>
        <v>0</v>
      </c>
      <c r="H72" s="9">
        <f>SUBTOTAL(109,tblVacations[July])</f>
        <v>0</v>
      </c>
      <c r="I72" s="9">
        <f>SUBTOTAL(109,tblVacations[Aug])</f>
        <v>0</v>
      </c>
      <c r="J72" s="9">
        <f>SUBTOTAL(109,tblVacations[Sept])</f>
        <v>0</v>
      </c>
      <c r="K72" s="9">
        <f>SUBTOTAL(109,tblVacations[Oct])</f>
        <v>0</v>
      </c>
      <c r="L72" s="9">
        <f>SUBTOTAL(109,tblVacations[Nov])</f>
        <v>0</v>
      </c>
      <c r="M72" s="9">
        <f>SUBTOTAL(109,tblVacations[Dec])</f>
        <v>0</v>
      </c>
      <c r="N72" s="9">
        <f>SUBTOTAL(109,tblVacations[Year])</f>
        <v>910</v>
      </c>
      <c r="O72" s="6"/>
    </row>
    <row r="73" spans="1:15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5" ht="14.4" x14ac:dyDescent="0.25">
      <c r="A74" s="5" t="s">
        <v>54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x14ac:dyDescent="0.25">
      <c r="A75" t="s">
        <v>27</v>
      </c>
      <c r="B75" s="9">
        <v>0</v>
      </c>
      <c r="C75" s="9">
        <v>60</v>
      </c>
      <c r="D75" s="9">
        <v>0</v>
      </c>
      <c r="E75" s="9"/>
      <c r="F75" s="9"/>
      <c r="G75" s="9"/>
      <c r="H75" s="9"/>
      <c r="I75" s="9"/>
      <c r="J75" s="9"/>
      <c r="K75" s="9"/>
      <c r="L75" s="9"/>
      <c r="M75" s="9"/>
      <c r="N75" s="9">
        <f>SUM(tblRecreation[[#This Row],[Jan]:[Dec]])</f>
        <v>60</v>
      </c>
      <c r="O75" s="9"/>
    </row>
    <row r="76" spans="1:15" x14ac:dyDescent="0.25">
      <c r="A76" t="s">
        <v>86</v>
      </c>
      <c r="B76" s="9">
        <v>200</v>
      </c>
      <c r="C76" s="9">
        <v>200</v>
      </c>
      <c r="D76" s="9">
        <v>200</v>
      </c>
      <c r="E76" s="9"/>
      <c r="F76" s="9"/>
      <c r="G76" s="9"/>
      <c r="H76" s="9"/>
      <c r="I76" s="9"/>
      <c r="J76" s="9"/>
      <c r="K76" s="9"/>
      <c r="L76" s="9"/>
      <c r="M76" s="9"/>
      <c r="N76" s="9">
        <f>SUM(tblRecreation[[#This Row],[Jan]:[Dec]])</f>
        <v>600</v>
      </c>
      <c r="O76" s="9"/>
    </row>
    <row r="77" spans="1:15" x14ac:dyDescent="0.25">
      <c r="A77" t="s">
        <v>28</v>
      </c>
      <c r="B77" s="9">
        <v>39</v>
      </c>
      <c r="C77" s="9">
        <v>33</v>
      </c>
      <c r="D77" s="9">
        <v>40</v>
      </c>
      <c r="E77" s="9"/>
      <c r="F77" s="9"/>
      <c r="G77" s="9"/>
      <c r="H77" s="9"/>
      <c r="I77" s="9"/>
      <c r="J77" s="9"/>
      <c r="K77" s="9"/>
      <c r="L77" s="9"/>
      <c r="M77" s="9"/>
      <c r="N77" s="9">
        <f>SUM(tblRecreation[[#This Row],[Jan]:[Dec]])</f>
        <v>112</v>
      </c>
      <c r="O77" s="9"/>
    </row>
    <row r="78" spans="1:15" x14ac:dyDescent="0.25">
      <c r="A78" t="s">
        <v>45</v>
      </c>
      <c r="B78" s="9">
        <f>SUBTOTAL(109,tblRecreation[Jan])</f>
        <v>239</v>
      </c>
      <c r="C78" s="9">
        <f>SUBTOTAL(109,tblRecreation[Feb])</f>
        <v>293</v>
      </c>
      <c r="D78" s="9">
        <f>SUBTOTAL(109,tblRecreation[March])</f>
        <v>240</v>
      </c>
      <c r="E78" s="9">
        <f>SUBTOTAL(109,tblRecreation[April])</f>
        <v>0</v>
      </c>
      <c r="F78" s="9">
        <f>SUBTOTAL(109,tblRecreation[May])</f>
        <v>0</v>
      </c>
      <c r="G78" s="9">
        <f>SUBTOTAL(109,tblRecreation[June])</f>
        <v>0</v>
      </c>
      <c r="H78" s="9">
        <f>SUBTOTAL(109,tblRecreation[July])</f>
        <v>0</v>
      </c>
      <c r="I78" s="9">
        <f>SUBTOTAL(109,tblRecreation[Aug])</f>
        <v>0</v>
      </c>
      <c r="J78" s="9">
        <f>SUBTOTAL(109,tblRecreation[Sept])</f>
        <v>0</v>
      </c>
      <c r="K78" s="9">
        <f>SUBTOTAL(109,tblRecreation[Oct])</f>
        <v>0</v>
      </c>
      <c r="L78" s="9">
        <f>SUBTOTAL(109,tblRecreation[Nov])</f>
        <v>0</v>
      </c>
      <c r="M78" s="9">
        <f>SUBTOTAL(109,tblRecreation[Dec])</f>
        <v>0</v>
      </c>
      <c r="N78" s="9">
        <f>SUBTOTAL(109,tblRecreation[Year])</f>
        <v>772</v>
      </c>
      <c r="O78" s="6"/>
    </row>
    <row r="79" spans="1:15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5" ht="14.4" x14ac:dyDescent="0.25">
      <c r="A80" s="5" t="s">
        <v>55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5" x14ac:dyDescent="0.25">
      <c r="A81" t="s">
        <v>29</v>
      </c>
      <c r="B81" s="9">
        <v>0</v>
      </c>
      <c r="C81" s="9">
        <v>0</v>
      </c>
      <c r="D81" s="9">
        <v>0</v>
      </c>
      <c r="E81" s="9"/>
      <c r="F81" s="9"/>
      <c r="G81" s="9"/>
      <c r="H81" s="9"/>
      <c r="I81" s="9"/>
      <c r="J81" s="9"/>
      <c r="K81" s="9"/>
      <c r="L81" s="9"/>
      <c r="M81" s="9"/>
      <c r="N81" s="9">
        <f>SUM(tblDues[[#This Row],[Jan]:[Dec]])</f>
        <v>0</v>
      </c>
      <c r="O81" s="9"/>
    </row>
    <row r="82" spans="1:15" x14ac:dyDescent="0.25">
      <c r="A82" t="s">
        <v>30</v>
      </c>
      <c r="B82" s="9">
        <v>0</v>
      </c>
      <c r="C82" s="9">
        <v>0</v>
      </c>
      <c r="D82" s="9">
        <v>0</v>
      </c>
      <c r="E82" s="9"/>
      <c r="F82" s="9"/>
      <c r="G82" s="9"/>
      <c r="H82" s="9"/>
      <c r="I82" s="9"/>
      <c r="J82" s="9"/>
      <c r="K82" s="9"/>
      <c r="L82" s="9"/>
      <c r="M82" s="9"/>
      <c r="N82" s="9">
        <f>SUM(tblDues[[#This Row],[Jan]:[Dec]])</f>
        <v>0</v>
      </c>
      <c r="O82" s="9"/>
    </row>
    <row r="83" spans="1:15" x14ac:dyDescent="0.25">
      <c r="A83" t="s">
        <v>31</v>
      </c>
      <c r="B83" s="9">
        <v>0</v>
      </c>
      <c r="C83" s="9">
        <v>0</v>
      </c>
      <c r="D83" s="9">
        <v>0</v>
      </c>
      <c r="E83" s="9"/>
      <c r="F83" s="9"/>
      <c r="G83" s="9"/>
      <c r="H83" s="9"/>
      <c r="I83" s="9"/>
      <c r="J83" s="9"/>
      <c r="K83" s="9"/>
      <c r="L83" s="9"/>
      <c r="M83" s="9"/>
      <c r="N83" s="9">
        <f>SUM(tblDues[[#This Row],[Jan]:[Dec]])</f>
        <v>0</v>
      </c>
      <c r="O83" s="9"/>
    </row>
    <row r="84" spans="1:15" x14ac:dyDescent="0.25">
      <c r="A84" t="s">
        <v>97</v>
      </c>
      <c r="B84" s="9">
        <v>4.17</v>
      </c>
      <c r="C84" s="9">
        <f>50/12</f>
        <v>4.166666666666667</v>
      </c>
      <c r="D84" s="9">
        <f>50/12</f>
        <v>4.166666666666667</v>
      </c>
      <c r="E84" s="9"/>
      <c r="F84" s="9"/>
      <c r="G84" s="9"/>
      <c r="H84" s="9"/>
      <c r="I84" s="9"/>
      <c r="J84" s="9"/>
      <c r="K84" s="9"/>
      <c r="L84" s="9"/>
      <c r="M84" s="9"/>
      <c r="N84" s="9">
        <f>SUM(tblDues[[#This Row],[Jan]:[Dec]])</f>
        <v>12.503333333333334</v>
      </c>
      <c r="O84" s="9"/>
    </row>
    <row r="85" spans="1:15" x14ac:dyDescent="0.25">
      <c r="A85" t="s">
        <v>32</v>
      </c>
      <c r="B85" s="9">
        <v>29</v>
      </c>
      <c r="C85" s="9">
        <v>18</v>
      </c>
      <c r="D85" s="9">
        <v>17</v>
      </c>
      <c r="E85" s="9"/>
      <c r="F85" s="9"/>
      <c r="G85" s="9"/>
      <c r="H85" s="9"/>
      <c r="I85" s="9"/>
      <c r="J85" s="9"/>
      <c r="K85" s="9"/>
      <c r="L85" s="9"/>
      <c r="M85" s="9"/>
      <c r="N85" s="9">
        <f>SUM(tblDues[[#This Row],[Jan]:[Dec]])</f>
        <v>64</v>
      </c>
      <c r="O85" s="9"/>
    </row>
    <row r="86" spans="1:15" x14ac:dyDescent="0.25">
      <c r="A86" t="s">
        <v>33</v>
      </c>
      <c r="B86" s="9">
        <v>0</v>
      </c>
      <c r="C86" s="9">
        <v>0</v>
      </c>
      <c r="D86" s="9">
        <v>0</v>
      </c>
      <c r="E86" s="9"/>
      <c r="F86" s="9"/>
      <c r="G86" s="9"/>
      <c r="H86" s="9"/>
      <c r="I86" s="9"/>
      <c r="J86" s="9"/>
      <c r="K86" s="9"/>
      <c r="L86" s="9"/>
      <c r="M86" s="9"/>
      <c r="N86" s="9">
        <f>SUM(tblDues[[#This Row],[Jan]:[Dec]])</f>
        <v>0</v>
      </c>
      <c r="O86" s="9"/>
    </row>
    <row r="87" spans="1:15" x14ac:dyDescent="0.25">
      <c r="A87" t="s">
        <v>45</v>
      </c>
      <c r="B87" s="9">
        <f>SUBTOTAL(109,tblDues[Jan])</f>
        <v>33.17</v>
      </c>
      <c r="C87" s="9">
        <f>SUBTOTAL(109,tblDues[Feb])</f>
        <v>22.166666666666668</v>
      </c>
      <c r="D87" s="9">
        <f>SUBTOTAL(109,tblDues[March])</f>
        <v>21.166666666666668</v>
      </c>
      <c r="E87" s="9">
        <f>SUBTOTAL(109,tblDues[April])</f>
        <v>0</v>
      </c>
      <c r="F87" s="9">
        <f>SUBTOTAL(109,tblDues[May])</f>
        <v>0</v>
      </c>
      <c r="G87" s="9">
        <f>SUBTOTAL(109,tblDues[June])</f>
        <v>0</v>
      </c>
      <c r="H87" s="9">
        <f>SUBTOTAL(109,tblDues[July])</f>
        <v>0</v>
      </c>
      <c r="I87" s="9">
        <f>SUBTOTAL(109,tblDues[Aug])</f>
        <v>0</v>
      </c>
      <c r="J87" s="9">
        <f>SUBTOTAL(109,tblDues[Sept])</f>
        <v>0</v>
      </c>
      <c r="K87" s="9">
        <f>SUBTOTAL(109,tblDues[Oct])</f>
        <v>0</v>
      </c>
      <c r="L87" s="9">
        <f>SUBTOTAL(109,tblDues[Nov])</f>
        <v>0</v>
      </c>
      <c r="M87" s="9">
        <f>SUBTOTAL(109,tblDues[Dec])</f>
        <v>0</v>
      </c>
      <c r="N87" s="9">
        <f>SUBTOTAL(109,tblDues[Year])</f>
        <v>76.50333333333333</v>
      </c>
      <c r="O87" s="6"/>
    </row>
    <row r="88" spans="1:15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</row>
    <row r="89" spans="1:15" ht="14.4" x14ac:dyDescent="0.25">
      <c r="A89" s="5" t="s">
        <v>56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</row>
    <row r="90" spans="1:15" x14ac:dyDescent="0.25">
      <c r="A90" t="s">
        <v>34</v>
      </c>
      <c r="B90" s="9">
        <v>0</v>
      </c>
      <c r="C90" s="9">
        <v>0</v>
      </c>
      <c r="D90" s="9">
        <v>29</v>
      </c>
      <c r="E90" s="9"/>
      <c r="F90" s="9"/>
      <c r="G90" s="9"/>
      <c r="H90" s="9"/>
      <c r="I90" s="9"/>
      <c r="J90" s="9"/>
      <c r="K90" s="9"/>
      <c r="L90" s="9"/>
      <c r="M90" s="9"/>
      <c r="N90" s="9">
        <f>SUM(tblPersonal[[#This Row],[Jan]:[Dec]])</f>
        <v>29</v>
      </c>
      <c r="O90" s="9"/>
    </row>
    <row r="91" spans="1:15" x14ac:dyDescent="0.25">
      <c r="A91" t="s">
        <v>35</v>
      </c>
      <c r="B91" s="9">
        <v>0</v>
      </c>
      <c r="C91" s="9">
        <v>35</v>
      </c>
      <c r="D91" s="9">
        <v>0</v>
      </c>
      <c r="E91" s="9"/>
      <c r="F91" s="9"/>
      <c r="G91" s="9"/>
      <c r="H91" s="9"/>
      <c r="I91" s="9"/>
      <c r="J91" s="9"/>
      <c r="K91" s="9"/>
      <c r="L91" s="9"/>
      <c r="M91" s="9"/>
      <c r="N91" s="9">
        <f>SUM(tblPersonal[[#This Row],[Jan]:[Dec]])</f>
        <v>35</v>
      </c>
      <c r="O91" s="9"/>
    </row>
    <row r="92" spans="1:15" x14ac:dyDescent="0.25">
      <c r="A92" t="s">
        <v>36</v>
      </c>
      <c r="B92" s="9">
        <v>25</v>
      </c>
      <c r="C92" s="9">
        <v>25</v>
      </c>
      <c r="D92" s="9">
        <v>25</v>
      </c>
      <c r="E92" s="9"/>
      <c r="F92" s="9"/>
      <c r="G92" s="9"/>
      <c r="H92" s="9"/>
      <c r="I92" s="9"/>
      <c r="J92" s="9"/>
      <c r="K92" s="9"/>
      <c r="L92" s="9"/>
      <c r="M92" s="9"/>
      <c r="N92" s="9">
        <f>SUM(tblPersonal[[#This Row],[Jan]:[Dec]])</f>
        <v>75</v>
      </c>
      <c r="O92" s="9"/>
    </row>
    <row r="93" spans="1:15" x14ac:dyDescent="0.25">
      <c r="A93" t="s">
        <v>94</v>
      </c>
      <c r="B93" s="9">
        <v>14.32</v>
      </c>
      <c r="C93" s="9">
        <v>14.32</v>
      </c>
      <c r="D93" s="9">
        <v>11.25</v>
      </c>
      <c r="E93" s="9"/>
      <c r="F93" s="9"/>
      <c r="G93" s="9"/>
      <c r="H93" s="9"/>
      <c r="I93" s="9"/>
      <c r="J93" s="9"/>
      <c r="K93" s="9"/>
      <c r="L93" s="9"/>
      <c r="M93" s="9"/>
      <c r="N93" s="9">
        <f>SUM(tblPersonal[[#This Row],[Jan]:[Dec]])</f>
        <v>39.89</v>
      </c>
      <c r="O93" s="9"/>
    </row>
    <row r="94" spans="1:15" x14ac:dyDescent="0.25">
      <c r="A94" t="s">
        <v>45</v>
      </c>
      <c r="B94" s="9">
        <f>SUBTOTAL(109,tblPersonal[Jan])</f>
        <v>39.32</v>
      </c>
      <c r="C94" s="9">
        <f>SUBTOTAL(109,tblPersonal[Feb])</f>
        <v>74.319999999999993</v>
      </c>
      <c r="D94" s="9">
        <f>SUBTOTAL(109,tblPersonal[March])</f>
        <v>65.25</v>
      </c>
      <c r="E94" s="9">
        <f>SUBTOTAL(109,tblPersonal[April])</f>
        <v>0</v>
      </c>
      <c r="F94" s="9">
        <f>SUBTOTAL(109,tblPersonal[May])</f>
        <v>0</v>
      </c>
      <c r="G94" s="9">
        <f>SUBTOTAL(109,tblPersonal[June])</f>
        <v>0</v>
      </c>
      <c r="H94" s="9">
        <f>SUBTOTAL(109,tblPersonal[July])</f>
        <v>0</v>
      </c>
      <c r="I94" s="9">
        <f>SUBTOTAL(109,tblPersonal[Aug])</f>
        <v>0</v>
      </c>
      <c r="J94" s="9">
        <f>SUBTOTAL(109,tblPersonal[Sept])</f>
        <v>0</v>
      </c>
      <c r="K94" s="9">
        <f>SUBTOTAL(109,tblPersonal[Oct])</f>
        <v>0</v>
      </c>
      <c r="L94" s="9">
        <f>SUBTOTAL(109,tblPersonal[Nov])</f>
        <v>0</v>
      </c>
      <c r="M94" s="9">
        <f>SUBTOTAL(109,tblPersonal[Dec])</f>
        <v>0</v>
      </c>
      <c r="N94" s="9">
        <f>SUBTOTAL(109,tblPersonal[Year])</f>
        <v>178.89</v>
      </c>
      <c r="O94" s="6"/>
    </row>
    <row r="95" spans="1:1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1:15" ht="14.4" x14ac:dyDescent="0.25">
      <c r="A96" s="5" t="s">
        <v>57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</row>
    <row r="97" spans="1:15" x14ac:dyDescent="0.25">
      <c r="A97" t="s">
        <v>37</v>
      </c>
      <c r="B97" s="9">
        <v>25</v>
      </c>
      <c r="C97" s="9">
        <v>25</v>
      </c>
      <c r="D97" s="9">
        <v>25</v>
      </c>
      <c r="E97" s="9"/>
      <c r="F97" s="9"/>
      <c r="G97" s="9"/>
      <c r="H97" s="9"/>
      <c r="I97" s="9"/>
      <c r="J97" s="9"/>
      <c r="K97" s="9"/>
      <c r="L97" s="9"/>
      <c r="M97" s="9"/>
      <c r="N97" s="9">
        <f>SUM(tblFinancial[[#This Row],[Jan]:[Dec]])</f>
        <v>75</v>
      </c>
      <c r="O97" s="9"/>
    </row>
    <row r="98" spans="1:15" x14ac:dyDescent="0.25">
      <c r="A98" t="s">
        <v>38</v>
      </c>
      <c r="B98" s="9">
        <v>45</v>
      </c>
      <c r="C98" s="9">
        <v>45</v>
      </c>
      <c r="D98" s="9">
        <v>45</v>
      </c>
      <c r="E98" s="9"/>
      <c r="F98" s="9"/>
      <c r="G98" s="9"/>
      <c r="H98" s="9"/>
      <c r="I98" s="9"/>
      <c r="J98" s="9"/>
      <c r="K98" s="9"/>
      <c r="L98" s="9"/>
      <c r="M98" s="9"/>
      <c r="N98" s="9">
        <f>SUM(tblFinancial[[#This Row],[Jan]:[Dec]])</f>
        <v>135</v>
      </c>
      <c r="O98" s="9"/>
    </row>
    <row r="99" spans="1:15" x14ac:dyDescent="0.25">
      <c r="A99" t="s">
        <v>98</v>
      </c>
      <c r="B99" s="9">
        <v>55</v>
      </c>
      <c r="C99" s="9">
        <v>55</v>
      </c>
      <c r="D99" s="9">
        <v>55</v>
      </c>
      <c r="E99" s="9"/>
      <c r="F99" s="9"/>
      <c r="G99" s="9"/>
      <c r="H99" s="9"/>
      <c r="I99" s="9"/>
      <c r="J99" s="9"/>
      <c r="K99" s="9"/>
      <c r="L99" s="9"/>
      <c r="M99" s="9"/>
      <c r="N99" s="9">
        <f>SUM(tblFinancial[[#This Row],[Jan]:[Dec]])</f>
        <v>165</v>
      </c>
      <c r="O99" s="9"/>
    </row>
    <row r="100" spans="1:15" x14ac:dyDescent="0.25">
      <c r="A100" t="s">
        <v>39</v>
      </c>
      <c r="B100" s="9">
        <v>75</v>
      </c>
      <c r="C100" s="9">
        <v>75</v>
      </c>
      <c r="D100" s="9">
        <v>75</v>
      </c>
      <c r="E100" s="9"/>
      <c r="F100" s="9"/>
      <c r="G100" s="9"/>
      <c r="H100" s="9"/>
      <c r="I100" s="9"/>
      <c r="J100" s="9"/>
      <c r="K100" s="9"/>
      <c r="L100" s="9"/>
      <c r="M100" s="9"/>
      <c r="N100" s="9">
        <f>SUM(tblFinancial[[#This Row],[Jan]:[Dec]])</f>
        <v>225</v>
      </c>
      <c r="O100" s="9"/>
    </row>
    <row r="101" spans="1:15" x14ac:dyDescent="0.25">
      <c r="A101" t="s">
        <v>40</v>
      </c>
      <c r="B101" s="9">
        <v>0</v>
      </c>
      <c r="C101" s="9">
        <v>0</v>
      </c>
      <c r="D101" s="9">
        <v>0</v>
      </c>
      <c r="E101" s="9"/>
      <c r="F101" s="9"/>
      <c r="G101" s="9"/>
      <c r="H101" s="9"/>
      <c r="I101" s="9"/>
      <c r="J101" s="9"/>
      <c r="K101" s="9"/>
      <c r="L101" s="9"/>
      <c r="M101" s="9"/>
      <c r="N101" s="9">
        <f>SUM(tblFinancial[[#This Row],[Jan]:[Dec]])</f>
        <v>0</v>
      </c>
      <c r="O101" s="9"/>
    </row>
    <row r="102" spans="1:15" x14ac:dyDescent="0.25">
      <c r="A102" t="s">
        <v>41</v>
      </c>
      <c r="B102" s="9">
        <v>32</v>
      </c>
      <c r="C102" s="9">
        <v>34</v>
      </c>
      <c r="D102" s="9">
        <v>1</v>
      </c>
      <c r="E102" s="9"/>
      <c r="F102" s="9"/>
      <c r="G102" s="9"/>
      <c r="H102" s="9"/>
      <c r="I102" s="9"/>
      <c r="J102" s="9"/>
      <c r="K102" s="9"/>
      <c r="L102" s="9"/>
      <c r="M102" s="9"/>
      <c r="N102" s="9">
        <f>SUM(tblFinancial[[#This Row],[Jan]:[Dec]])</f>
        <v>67</v>
      </c>
      <c r="O102" s="9"/>
    </row>
    <row r="103" spans="1:15" x14ac:dyDescent="0.25">
      <c r="A103" t="s">
        <v>45</v>
      </c>
      <c r="B103" s="9">
        <f>SUBTOTAL(109,tblFinancial[Jan])</f>
        <v>232</v>
      </c>
      <c r="C103" s="9">
        <f>SUBTOTAL(109,tblFinancial[Feb])</f>
        <v>234</v>
      </c>
      <c r="D103" s="9">
        <f>SUBTOTAL(109,tblFinancial[March])</f>
        <v>201</v>
      </c>
      <c r="E103" s="9">
        <f>SUBTOTAL(109,tblFinancial[April])</f>
        <v>0</v>
      </c>
      <c r="F103" s="9">
        <f>SUBTOTAL(109,tblFinancial[May])</f>
        <v>0</v>
      </c>
      <c r="G103" s="9">
        <f>SUBTOTAL(109,tblFinancial[June])</f>
        <v>0</v>
      </c>
      <c r="H103" s="9">
        <f>SUBTOTAL(109,tblFinancial[July])</f>
        <v>0</v>
      </c>
      <c r="I103" s="9">
        <f>SUBTOTAL(109,tblFinancial[Aug])</f>
        <v>0</v>
      </c>
      <c r="J103" s="9">
        <f>SUBTOTAL(109,tblFinancial[Sept])</f>
        <v>0</v>
      </c>
      <c r="K103" s="9">
        <f>SUBTOTAL(109,tblFinancial[Oct])</f>
        <v>0</v>
      </c>
      <c r="L103" s="9">
        <f>SUBTOTAL(109,tblFinancial[Nov])</f>
        <v>0</v>
      </c>
      <c r="M103" s="9">
        <f>SUBTOTAL(109,tblFinancial[Dec])</f>
        <v>0</v>
      </c>
      <c r="N103" s="9">
        <f>SUBTOTAL(109,tblFinancial[Year])</f>
        <v>667</v>
      </c>
      <c r="O103" s="6"/>
    </row>
    <row r="104" spans="1:1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</row>
    <row r="105" spans="1:15" ht="14.4" x14ac:dyDescent="0.25">
      <c r="A105" s="5" t="s">
        <v>58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x14ac:dyDescent="0.25">
      <c r="A106" t="s">
        <v>42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>
        <f>SUM(tblMisc[[#This Row],[Jan]:[Dec]])</f>
        <v>0</v>
      </c>
      <c r="O106" s="9"/>
    </row>
    <row r="107" spans="1:15" x14ac:dyDescent="0.25">
      <c r="A107" t="s">
        <v>42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>
        <f>SUM(tblMisc[[#This Row],[Jan]:[Dec]])</f>
        <v>0</v>
      </c>
      <c r="O107" s="9"/>
    </row>
    <row r="108" spans="1:15" x14ac:dyDescent="0.25">
      <c r="A108" t="s">
        <v>42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>
        <f>SUM(tblMisc[[#This Row],[Jan]:[Dec]])</f>
        <v>0</v>
      </c>
      <c r="O108" s="9"/>
    </row>
    <row r="109" spans="1:15" x14ac:dyDescent="0.25">
      <c r="A109" t="s">
        <v>42</v>
      </c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>
        <f>SUM(tblMisc[[#This Row],[Jan]:[Dec]])</f>
        <v>0</v>
      </c>
      <c r="O109" s="9"/>
    </row>
    <row r="110" spans="1:15" x14ac:dyDescent="0.25">
      <c r="A110" t="s">
        <v>42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>
        <f>SUM(tblMisc[[#This Row],[Jan]:[Dec]])</f>
        <v>0</v>
      </c>
      <c r="O110" s="9"/>
    </row>
    <row r="111" spans="1:15" x14ac:dyDescent="0.25">
      <c r="A111" t="s">
        <v>45</v>
      </c>
      <c r="B111" s="9">
        <f>SUBTOTAL(109,tblMisc[Jan])</f>
        <v>0</v>
      </c>
      <c r="C111" s="9">
        <f>SUBTOTAL(109,tblMisc[Feb])</f>
        <v>0</v>
      </c>
      <c r="D111" s="9">
        <f>SUBTOTAL(109,tblMisc[March])</f>
        <v>0</v>
      </c>
      <c r="E111" s="9">
        <f>SUBTOTAL(109,tblMisc[April])</f>
        <v>0</v>
      </c>
      <c r="F111" s="9">
        <f>SUBTOTAL(109,tblMisc[May])</f>
        <v>0</v>
      </c>
      <c r="G111" s="9">
        <f>SUBTOTAL(109,tblMisc[June])</f>
        <v>0</v>
      </c>
      <c r="H111" s="9">
        <f>SUBTOTAL(109,tblMisc[July])</f>
        <v>0</v>
      </c>
      <c r="I111" s="9">
        <f>SUBTOTAL(109,tblMisc[Aug])</f>
        <v>0</v>
      </c>
      <c r="J111" s="9">
        <f>SUBTOTAL(109,tblMisc[Sept])</f>
        <v>0</v>
      </c>
      <c r="K111" s="9">
        <f>SUBTOTAL(109,tblMisc[Oct])</f>
        <v>0</v>
      </c>
      <c r="L111" s="9">
        <f>SUBTOTAL(109,tblMisc[Nov])</f>
        <v>0</v>
      </c>
      <c r="M111" s="9">
        <f>SUBTOTAL(109,tblMisc[Dec])</f>
        <v>0</v>
      </c>
      <c r="N111" s="9">
        <f>SUBTOTAL(109,tblMisc[Year])</f>
        <v>0</v>
      </c>
      <c r="O111" s="6"/>
    </row>
    <row r="112" spans="1:1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ht="14.4" x14ac:dyDescent="0.25">
      <c r="A113" s="3" t="s">
        <v>59</v>
      </c>
      <c r="B113" s="8" t="s">
        <v>60</v>
      </c>
      <c r="C113" s="8" t="s">
        <v>61</v>
      </c>
      <c r="D113" s="8" t="s">
        <v>63</v>
      </c>
      <c r="E113" s="8" t="s">
        <v>64</v>
      </c>
      <c r="F113" s="8" t="s">
        <v>62</v>
      </c>
      <c r="G113" s="8" t="s">
        <v>65</v>
      </c>
      <c r="H113" s="8" t="s">
        <v>66</v>
      </c>
      <c r="I113" s="8" t="s">
        <v>67</v>
      </c>
      <c r="J113" s="8" t="s">
        <v>68</v>
      </c>
      <c r="K113" s="8" t="s">
        <v>69</v>
      </c>
      <c r="L113" s="8" t="s">
        <v>70</v>
      </c>
      <c r="M113" s="8" t="s">
        <v>71</v>
      </c>
      <c r="N113" s="8" t="s">
        <v>72</v>
      </c>
      <c r="O113" s="3" t="s">
        <v>74</v>
      </c>
    </row>
    <row r="114" spans="1:15" x14ac:dyDescent="0.25">
      <c r="A114" t="s">
        <v>43</v>
      </c>
      <c r="B114" s="9">
        <f>SUM(tblMisc[[#Totals],[Jan]],tblFinancial[[#Totals],[Jan]],tblPersonal[[#Totals],[Jan]],tblDues[[#Totals],[Jan]],tblRecreation[[#Totals],[Jan]],tblVacations[[#Totals],[Jan]],tblHealth[[#Totals],[Jan]],tblEntertainment[[#Totals],[Jan]],tblTransportation[[#Totals],[Jan]],tblDaily[[#Totals],[Jan]],tblHome[[#Totals],[Jan]])</f>
        <v>4253.49</v>
      </c>
      <c r="C114" s="9">
        <f>SUM(tblMisc[[#Totals],[Feb]],tblFinancial[[#Totals],[Feb]],tblPersonal[[#Totals],[Feb]],tblDues[[#Totals],[Feb]],tblRecreation[[#Totals],[Feb]],tblVacations[[#Totals],[Feb]],tblHealth[[#Totals],[Feb]],tblEntertainment[[#Totals],[Feb]],tblTransportation[[#Totals],[Feb]],tblDaily[[#Totals],[Feb]],tblHome[[#Totals],[Feb]])</f>
        <v>4951.4866666666667</v>
      </c>
      <c r="D114" s="9">
        <f>SUM(tblMisc[[#Totals],[March]],tblFinancial[[#Totals],[March]],tblPersonal[[#Totals],[March]],tblDues[[#Totals],[March]],tblRecreation[[#Totals],[March]],tblVacations[[#Totals],[March]],tblHealth[[#Totals],[March]],tblEntertainment[[#Totals],[March]],tblTransportation[[#Totals],[March]],tblDaily[[#Totals],[March]],tblHome[[#Totals],[March]])</f>
        <v>4471.416666666667</v>
      </c>
      <c r="E114" s="9">
        <f>SUM(tblMisc[[#Totals],[April]],tblFinancial[[#Totals],[April]],tblPersonal[[#Totals],[April]],tblDues[[#Totals],[April]],tblRecreation[[#Totals],[April]],tblVacations[[#Totals],[April]],tblHealth[[#Totals],[April]],tblEntertainment[[#Totals],[April]],tblTransportation[[#Totals],[April]],tblDaily[[#Totals],[April]],tblHome[[#Totals],[April]])</f>
        <v>0</v>
      </c>
      <c r="F114" s="9">
        <f>SUM(tblMisc[[#Totals],[May]],tblFinancial[[#Totals],[May]],tblPersonal[[#Totals],[May]],tblDues[[#Totals],[May]],tblRecreation[[#Totals],[May]],tblVacations[[#Totals],[May]],tblHealth[[#Totals],[May]],tblEntertainment[[#Totals],[May]],tblTransportation[[#Totals],[May]],tblDaily[[#Totals],[May]],tblHome[[#Totals],[May]])</f>
        <v>0</v>
      </c>
      <c r="G114" s="9">
        <f>SUM(tblMisc[[#Totals],[June]],tblFinancial[[#Totals],[June]],tblPersonal[[#Totals],[June]],tblDues[[#Totals],[June]],tblRecreation[[#Totals],[June]],tblVacations[[#Totals],[June]],tblHealth[[#Totals],[June]],tblEntertainment[[#Totals],[June]],tblTransportation[[#Totals],[June]],tblDaily[[#Totals],[June]],tblHome[[#Totals],[June]])</f>
        <v>0</v>
      </c>
      <c r="H114" s="9">
        <f>SUM(tblMisc[[#Totals],[July]],tblFinancial[[#Totals],[July]],tblPersonal[[#Totals],[July]],tblDues[[#Totals],[July]],tblRecreation[[#Totals],[July]],tblVacations[[#Totals],[July]],tblHealth[[#Totals],[July]],tblEntertainment[[#Totals],[July]],tblTransportation[[#Totals],[July]],tblDaily[[#Totals],[July]],tblHome[[#Totals],[July]])</f>
        <v>0</v>
      </c>
      <c r="I114" s="9">
        <f>SUM(tblMisc[[#Totals],[Aug]],tblFinancial[[#Totals],[Aug]],tblPersonal[[#Totals],[Aug]],tblDues[[#Totals],[Aug]],tblRecreation[[#Totals],[Aug]],tblVacations[[#Totals],[Aug]],tblHealth[[#Totals],[Aug]],tblEntertainment[[#Totals],[Aug]],tblTransportation[[#Totals],[Aug]],tblDaily[[#Totals],[Aug]],tblHome[[#Totals],[Aug]])</f>
        <v>0</v>
      </c>
      <c r="J114" s="9">
        <f>SUM(tblMisc[[#Totals],[Sept]],tblFinancial[[#Totals],[Sept]],tblPersonal[[#Totals],[Sept]],tblDues[[#Totals],[Sept]],tblRecreation[[#Totals],[Sept]],tblVacations[[#Totals],[Sept]],tblHealth[[#Totals],[Sept]],tblEntertainment[[#Totals],[Sept]],tblTransportation[[#Totals],[Sept]],tblDaily[[#Totals],[Sept]],tblHome[[#Totals],[Sept]])</f>
        <v>0</v>
      </c>
      <c r="K114" s="9">
        <f>SUM(tblMisc[[#Totals],[Oct]],tblFinancial[[#Totals],[Oct]],tblPersonal[[#Totals],[Oct]],tblDues[[#Totals],[Oct]],tblRecreation[[#Totals],[Oct]],tblVacations[[#Totals],[Oct]],tblHealth[[#Totals],[Oct]],tblEntertainment[[#Totals],[Oct]],tblTransportation[[#Totals],[Oct]],tblDaily[[#Totals],[Oct]],tblHome[[#Totals],[Oct]])</f>
        <v>0</v>
      </c>
      <c r="L114" s="9">
        <f>SUM(tblMisc[[#Totals],[Nov]],tblFinancial[[#Totals],[Nov]],tblPersonal[[#Totals],[Nov]],tblDues[[#Totals],[Nov]],tblRecreation[[#Totals],[Nov]],tblVacations[[#Totals],[Nov]],tblHealth[[#Totals],[Nov]],tblEntertainment[[#Totals],[Nov]],tblTransportation[[#Totals],[Nov]],tblDaily[[#Totals],[Nov]],tblHome[[#Totals],[Nov]])</f>
        <v>0</v>
      </c>
      <c r="M114" s="9">
        <f>SUM(tblMisc[[#Totals],[Dec]],tblFinancial[[#Totals],[Dec]],tblPersonal[[#Totals],[Dec]],tblDues[[#Totals],[Dec]],tblRecreation[[#Totals],[Dec]],tblVacations[[#Totals],[Dec]],tblHealth[[#Totals],[Dec]],tblEntertainment[[#Totals],[Dec]],tblTransportation[[#Totals],[Dec]],tblDaily[[#Totals],[Dec]],tblHome[[#Totals],[Dec]])</f>
        <v>0</v>
      </c>
      <c r="N114" s="9">
        <f>SUM(tblMisc[[#Totals],[Year]],tblFinancial[[#Totals],[Year]],tblPersonal[[#Totals],[Year]],tblDues[[#Totals],[Year]],tblRecreation[[#Totals],[Year]],tblVacations[[#Totals],[Year]],tblHealth[[#Totals],[Year]],tblEntertainment[[#Totals],[Year]],tblTransportation[[#Totals],[Year]],tblDaily[[#Totals],[Year]],tblHome[[#Totals],[Year]])</f>
        <v>13676.393333333333</v>
      </c>
      <c r="O114" s="9"/>
    </row>
    <row r="115" spans="1:15" x14ac:dyDescent="0.25">
      <c r="A115" t="s">
        <v>44</v>
      </c>
      <c r="B115" s="9">
        <f>tblIncome[[#Totals],[Jan]]-B114</f>
        <v>383.17666666666719</v>
      </c>
      <c r="C115" s="9">
        <f>tblIncome[[#Totals],[Feb]]-C114</f>
        <v>-314.81999999999971</v>
      </c>
      <c r="D115" s="9">
        <f>tblIncome[[#Totals],[March]]-D114</f>
        <v>165.25</v>
      </c>
      <c r="E115" s="9">
        <f>tblIncome[[#Totals],[April]]-E114</f>
        <v>0</v>
      </c>
      <c r="F115" s="9">
        <f>tblIncome[[#Totals],[May]]-F114</f>
        <v>0</v>
      </c>
      <c r="G115" s="9">
        <f>tblIncome[[#Totals],[June]]-G114</f>
        <v>0</v>
      </c>
      <c r="H115" s="9">
        <f>tblIncome[[#Totals],[July]]-H114</f>
        <v>0</v>
      </c>
      <c r="I115" s="9">
        <f>tblIncome[[#Totals],[Aug]]-I114</f>
        <v>0</v>
      </c>
      <c r="J115" s="9">
        <f>tblIncome[[#Totals],[Sept]]-J114</f>
        <v>0</v>
      </c>
      <c r="K115" s="9">
        <f>tblIncome[[#Totals],[Oct]]-K114</f>
        <v>0</v>
      </c>
      <c r="L115" s="9">
        <f>tblIncome[[#Totals],[Nov]]-L114</f>
        <v>0</v>
      </c>
      <c r="M115" s="9">
        <f>tblIncome[[#Totals],[Dec]]-M114</f>
        <v>0</v>
      </c>
      <c r="N115" s="9">
        <f>tblIncome[[#Totals],[Year]]-N114</f>
        <v>233.60666666666657</v>
      </c>
      <c r="O115" s="9"/>
    </row>
  </sheetData>
  <mergeCells count="12">
    <mergeCell ref="A26:O26"/>
    <mergeCell ref="A9:O9"/>
    <mergeCell ref="A35:O35"/>
    <mergeCell ref="A112:O112"/>
    <mergeCell ref="A104:O104"/>
    <mergeCell ref="A95:O95"/>
    <mergeCell ref="A88:O88"/>
    <mergeCell ref="A79:O79"/>
    <mergeCell ref="A73:O73"/>
    <mergeCell ref="A64:O64"/>
    <mergeCell ref="A53:O53"/>
    <mergeCell ref="A46:O46"/>
  </mergeCells>
  <conditionalFormatting sqref="B115:N115">
    <cfRule type="cellIs" dxfId="84" priority="1" operator="lessThan">
      <formula>0</formula>
    </cfRule>
  </conditionalFormatting>
  <printOptions horizontalCentered="1"/>
  <pageMargins left="0.4" right="0.4" top="0.4" bottom="0.4" header="0.3" footer="0.3"/>
  <pageSetup scale="74" fitToHeight="0" orientation="landscape" r:id="rId1"/>
  <headerFooter differentFirst="1">
    <oddFooter>Page &amp;P of &amp;N</oddFooter>
  </headerFooter>
  <ignoredErrors>
    <ignoredError sqref="B114:N114" calculatedColumn="1"/>
  </ignoredErrors>
  <drawing r:id="rId2"/>
  <tableParts count="1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'Household Budget WorksheetAZDPA'!B14:M14</xm:f>
              <xm:sqref>O14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'Household Budget WorksheetAZDPA'!B15:M15</xm:f>
              <xm:sqref>O15</xm:sqref>
            </x14:sparkline>
            <x14:sparkline>
              <xm:f>'Household Budget WorksheetAZDPA'!B16:M16</xm:f>
              <xm:sqref>O16</xm:sqref>
            </x14:sparkline>
            <x14:sparkline>
              <xm:f>'Household Budget WorksheetAZDPA'!B17:M17</xm:f>
              <xm:sqref>O17</xm:sqref>
            </x14:sparkline>
            <x14:sparkline>
              <xm:f>'Household Budget WorksheetAZDPA'!B18:M18</xm:f>
              <xm:sqref>O18</xm:sqref>
            </x14:sparkline>
            <x14:sparkline>
              <xm:f>'Household Budget WorksheetAZDPA'!B19:M19</xm:f>
              <xm:sqref>O19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'Household Budget WorksheetAZDPA'!B37:M37</xm:f>
              <xm:sqref>O37</xm:sqref>
            </x14:sparkline>
            <x14:sparkline>
              <xm:f>'Household Budget WorksheetAZDPA'!B38:M38</xm:f>
              <xm:sqref>O38</xm:sqref>
            </x14:sparkline>
            <x14:sparkline>
              <xm:f>'Household Budget WorksheetAZDPA'!B39:M39</xm:f>
              <xm:sqref>O39</xm:sqref>
            </x14:sparkline>
            <x14:sparkline>
              <xm:f>'Household Budget WorksheetAZDPA'!B40:M40</xm:f>
              <xm:sqref>O40</xm:sqref>
            </x14:sparkline>
            <x14:sparkline>
              <xm:f>'Household Budget WorksheetAZDPA'!B41:M41</xm:f>
              <xm:sqref>O41</xm:sqref>
            </x14:sparkline>
            <x14:sparkline>
              <xm:f>'Household Budget WorksheetAZDPA'!B42:M42</xm:f>
              <xm:sqref>O42</xm:sqref>
            </x14:sparkline>
            <x14:sparkline>
              <xm:f>'Household Budget WorksheetAZDPA'!B43:M43</xm:f>
              <xm:sqref>O43</xm:sqref>
            </x14:sparkline>
            <x14:sparkline>
              <xm:f>'Household Budget WorksheetAZDPA'!B44:M44</xm:f>
              <xm:sqref>O44</xm:sqref>
            </x14:sparkline>
            <x14:sparkline>
              <xm:f>'Household Budget WorksheetAZDPA'!B45:M45</xm:f>
              <xm:sqref>O45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'Household Budget WorksheetAZDPA'!B5:M5</xm:f>
              <xm:sqref>O5</xm:sqref>
            </x14:sparkline>
            <x14:sparkline>
              <xm:f>'Household Budget WorksheetAZDPA'!B6:M6</xm:f>
              <xm:sqref>O6</xm:sqref>
            </x14:sparkline>
            <x14:sparkline>
              <xm:f>'Household Budget WorksheetAZDPA'!B7:M7</xm:f>
              <xm:sqref>O7</xm:sqref>
            </x14:sparkline>
            <x14:sparkline>
              <xm:f>'Household Budget WorksheetAZDPA'!B8:M8</xm:f>
              <xm:sqref>O8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'Household Budget WorksheetAZDPA'!B48:M48</xm:f>
              <xm:sqref>O48</xm:sqref>
            </x14:sparkline>
            <x14:sparkline>
              <xm:f>'Household Budget WorksheetAZDPA'!B49:M49</xm:f>
              <xm:sqref>O49</xm:sqref>
            </x14:sparkline>
            <x14:sparkline>
              <xm:f>'Household Budget WorksheetAZDPA'!B50:M50</xm:f>
              <xm:sqref>O50</xm:sqref>
            </x14:sparkline>
            <x14:sparkline>
              <xm:f>'Household Budget WorksheetAZDPA'!B51:M51</xm:f>
              <xm:sqref>O51</xm:sqref>
            </x14:sparkline>
            <x14:sparkline>
              <xm:f>'Household Budget WorksheetAZDPA'!B52:M52</xm:f>
              <xm:sqref>O52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'Household Budget WorksheetAZDPA'!B55:M55</xm:f>
              <xm:sqref>O55</xm:sqref>
            </x14:sparkline>
            <x14:sparkline>
              <xm:f>'Household Budget WorksheetAZDPA'!B56:M56</xm:f>
              <xm:sqref>O56</xm:sqref>
            </x14:sparkline>
            <x14:sparkline>
              <xm:f>'Household Budget WorksheetAZDPA'!B57:M57</xm:f>
              <xm:sqref>O57</xm:sqref>
            </x14:sparkline>
            <x14:sparkline>
              <xm:f>'Household Budget WorksheetAZDPA'!B58:M58</xm:f>
              <xm:sqref>O58</xm:sqref>
            </x14:sparkline>
            <x14:sparkline>
              <xm:f>'Household Budget WorksheetAZDPA'!B59:M59</xm:f>
              <xm:sqref>O59</xm:sqref>
            </x14:sparkline>
            <x14:sparkline>
              <xm:f>'Household Budget WorksheetAZDPA'!B60:M60</xm:f>
              <xm:sqref>O60</xm:sqref>
            </x14:sparkline>
            <x14:sparkline>
              <xm:f>'Household Budget WorksheetAZDPA'!B61:M61</xm:f>
              <xm:sqref>O61</xm:sqref>
            </x14:sparkline>
            <x14:sparkline>
              <xm:f>'Household Budget WorksheetAZDPA'!B62:M62</xm:f>
              <xm:sqref>O62</xm:sqref>
            </x14:sparkline>
            <x14:sparkline>
              <xm:f>'Household Budget WorksheetAZDPA'!B63:M63</xm:f>
              <xm:sqref>O63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'Household Budget WorksheetAZDPA'!B66:M66</xm:f>
              <xm:sqref>O66</xm:sqref>
            </x14:sparkline>
            <x14:sparkline>
              <xm:f>'Household Budget WorksheetAZDPA'!B67:M67</xm:f>
              <xm:sqref>O67</xm:sqref>
            </x14:sparkline>
            <x14:sparkline>
              <xm:f>'Household Budget WorksheetAZDPA'!B68:M68</xm:f>
              <xm:sqref>O68</xm:sqref>
            </x14:sparkline>
            <x14:sparkline>
              <xm:f>'Household Budget WorksheetAZDPA'!B69:M69</xm:f>
              <xm:sqref>O69</xm:sqref>
            </x14:sparkline>
            <x14:sparkline>
              <xm:f>'Household Budget WorksheetAZDPA'!B70:M70</xm:f>
              <xm:sqref>O70</xm:sqref>
            </x14:sparkline>
            <x14:sparkline>
              <xm:f>'Household Budget WorksheetAZDPA'!B71:M71</xm:f>
              <xm:sqref>O71</xm:sqref>
            </x14:sparkline>
            <x14:sparkline>
              <xm:f>'Household Budget WorksheetAZDPA'!B72:M72</xm:f>
              <xm:sqref>O72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'Household Budget WorksheetAZDPA'!B75:M75</xm:f>
              <xm:sqref>O75</xm:sqref>
            </x14:sparkline>
            <x14:sparkline>
              <xm:f>'Household Budget WorksheetAZDPA'!B76:M76</xm:f>
              <xm:sqref>O76</xm:sqref>
            </x14:sparkline>
            <x14:sparkline>
              <xm:f>'Household Budget WorksheetAZDPA'!B77:M77</xm:f>
              <xm:sqref>O77</xm:sqref>
            </x14:sparkline>
            <x14:sparkline>
              <xm:f>'Household Budget WorksheetAZDPA'!B78:M78</xm:f>
              <xm:sqref>O78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'Household Budget WorksheetAZDPA'!B81:M81</xm:f>
              <xm:sqref>O81</xm:sqref>
            </x14:sparkline>
            <x14:sparkline>
              <xm:f>'Household Budget WorksheetAZDPA'!B82:M82</xm:f>
              <xm:sqref>O82</xm:sqref>
            </x14:sparkline>
            <x14:sparkline>
              <xm:f>'Household Budget WorksheetAZDPA'!B83:M83</xm:f>
              <xm:sqref>O83</xm:sqref>
            </x14:sparkline>
            <x14:sparkline>
              <xm:f>'Household Budget WorksheetAZDPA'!B84:M84</xm:f>
              <xm:sqref>O84</xm:sqref>
            </x14:sparkline>
            <x14:sparkline>
              <xm:f>'Household Budget WorksheetAZDPA'!B85:M85</xm:f>
              <xm:sqref>O85</xm:sqref>
            </x14:sparkline>
            <x14:sparkline>
              <xm:f>'Household Budget WorksheetAZDPA'!B86:M86</xm:f>
              <xm:sqref>O86</xm:sqref>
            </x14:sparkline>
            <x14:sparkline>
              <xm:f>'Household Budget WorksheetAZDPA'!B87:M87</xm:f>
              <xm:sqref>O87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'Household Budget WorksheetAZDPA'!B90:M90</xm:f>
              <xm:sqref>O90</xm:sqref>
            </x14:sparkline>
            <x14:sparkline>
              <xm:f>'Household Budget WorksheetAZDPA'!B91:M91</xm:f>
              <xm:sqref>O91</xm:sqref>
            </x14:sparkline>
            <x14:sparkline>
              <xm:f>'Household Budget WorksheetAZDPA'!B92:M92</xm:f>
              <xm:sqref>O92</xm:sqref>
            </x14:sparkline>
            <x14:sparkline>
              <xm:f>'Household Budget WorksheetAZDPA'!B93:M93</xm:f>
              <xm:sqref>O93</xm:sqref>
            </x14:sparkline>
            <x14:sparkline>
              <xm:f>'Household Budget WorksheetAZDPA'!B94:M94</xm:f>
              <xm:sqref>O94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'Household Budget WorksheetAZDPA'!B97:M97</xm:f>
              <xm:sqref>O97</xm:sqref>
            </x14:sparkline>
            <x14:sparkline>
              <xm:f>'Household Budget WorksheetAZDPA'!B98:M98</xm:f>
              <xm:sqref>O98</xm:sqref>
            </x14:sparkline>
            <x14:sparkline>
              <xm:f>'Household Budget WorksheetAZDPA'!B99:M99</xm:f>
              <xm:sqref>O99</xm:sqref>
            </x14:sparkline>
            <x14:sparkline>
              <xm:f>'Household Budget WorksheetAZDPA'!B100:M100</xm:f>
              <xm:sqref>O100</xm:sqref>
            </x14:sparkline>
            <x14:sparkline>
              <xm:f>'Household Budget WorksheetAZDPA'!B101:M101</xm:f>
              <xm:sqref>O101</xm:sqref>
            </x14:sparkline>
            <x14:sparkline>
              <xm:f>'Household Budget WorksheetAZDPA'!B102:M102</xm:f>
              <xm:sqref>O102</xm:sqref>
            </x14:sparkline>
            <x14:sparkline>
              <xm:f>'Household Budget WorksheetAZDPA'!B103:M103</xm:f>
              <xm:sqref>O103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'Household Budget WorksheetAZDPA'!B106:M106</xm:f>
              <xm:sqref>O106</xm:sqref>
            </x14:sparkline>
            <x14:sparkline>
              <xm:f>'Household Budget WorksheetAZDPA'!B107:M107</xm:f>
              <xm:sqref>O107</xm:sqref>
            </x14:sparkline>
            <x14:sparkline>
              <xm:f>'Household Budget WorksheetAZDPA'!B108:M108</xm:f>
              <xm:sqref>O108</xm:sqref>
            </x14:sparkline>
            <x14:sparkline>
              <xm:f>'Household Budget WorksheetAZDPA'!B109:M109</xm:f>
              <xm:sqref>O109</xm:sqref>
            </x14:sparkline>
            <x14:sparkline>
              <xm:f>'Household Budget WorksheetAZDPA'!B110:M110</xm:f>
              <xm:sqref>O110</xm:sqref>
            </x14:sparkline>
            <x14:sparkline>
              <xm:f>'Household Budget WorksheetAZDPA'!B111:M111</xm:f>
              <xm:sqref>O111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'Household Budget WorksheetAZDPA'!B114:M114</xm:f>
              <xm:sqref>O114</xm:sqref>
            </x14:sparkline>
            <x14:sparkline>
              <xm:f>'Household Budget WorksheetAZDPA'!B115:M115</xm:f>
              <xm:sqref>O115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'Household Budget WorksheetAZDPA'!B28:M28</xm:f>
              <xm:sqref>O28</xm:sqref>
            </x14:sparkline>
            <x14:sparkline>
              <xm:f>'Household Budget WorksheetAZDPA'!B29:M29</xm:f>
              <xm:sqref>O29</xm:sqref>
            </x14:sparkline>
            <x14:sparkline>
              <xm:f>'Household Budget WorksheetAZDPA'!B30:M30</xm:f>
              <xm:sqref>O30</xm:sqref>
            </x14:sparkline>
            <x14:sparkline>
              <xm:f>'Household Budget WorksheetAZDPA'!B31:M31</xm:f>
              <xm:sqref>O31</xm:sqref>
            </x14:sparkline>
            <x14:sparkline>
              <xm:f>'Household Budget WorksheetAZDPA'!B32:M32</xm:f>
              <xm:sqref>O32</xm:sqref>
            </x14:sparkline>
            <x14:sparkline>
              <xm:f>'Household Budget WorksheetAZDPA'!B33:M33</xm:f>
              <xm:sqref>O33</xm:sqref>
            </x14:sparkline>
            <x14:sparkline>
              <xm:f>'Household Budget WorksheetAZDPA'!B34:M34</xm:f>
              <xm:sqref>O34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'Household Budget WorksheetAZDPA'!B12:M12</xm:f>
              <xm:sqref>O12</xm:sqref>
            </x14:sparkline>
          </x14:sparklines>
        </x14:sparklineGroup>
        <x14:sparklineGroup displayEmptyCellsAs="gap" high="1" low="1">
          <x14:colorSeries theme="4" tint="-0.249977111117893"/>
          <x14:colorNegative theme="5"/>
          <x14:colorAxis rgb="FF000000"/>
          <x14:colorMarkers theme="5" tint="-0.249977111117893"/>
          <x14:colorFirst theme="5" tint="-0.249977111117893"/>
          <x14:colorLast theme="5" tint="-0.249977111117893"/>
          <x14:colorHigh theme="5" tint="-0.249977111117893"/>
          <x14:colorLow theme="5" tint="-0.249977111117893"/>
          <x14:sparklines>
            <x14:sparkline>
              <xm:f>'Household Budget WorksheetAZDPA'!B13:M13</xm:f>
              <xm:sqref>O13</xm:sqref>
            </x14:sparkline>
            <x14:sparkline>
              <xm:f>'Household Budget WorksheetAZDPA'!B20:M20</xm:f>
              <xm:sqref>O20</xm:sqref>
            </x14:sparkline>
            <x14:sparkline>
              <xm:f>'Household Budget WorksheetAZDPA'!B21:M21</xm:f>
              <xm:sqref>O21</xm:sqref>
            </x14:sparkline>
            <x14:sparkline>
              <xm:f>'Household Budget WorksheetAZDPA'!B22:M22</xm:f>
              <xm:sqref>O22</xm:sqref>
            </x14:sparkline>
            <x14:sparkline>
              <xm:f>'Household Budget WorksheetAZDPA'!B23:M23</xm:f>
              <xm:sqref>O23</xm:sqref>
            </x14:sparkline>
            <x14:sparkline>
              <xm:f>'Household Budget WorksheetAZDPA'!B24:M24</xm:f>
              <xm:sqref>O24</xm:sqref>
            </x14:sparkline>
            <x14:sparkline>
              <xm:f>'Household Budget WorksheetAZDPA'!B25:M25</xm:f>
              <xm:sqref>O25</xm:sqref>
            </x14:sparkline>
          </x14:sparklines>
        </x14:sparklineGroup>
      </x14:sparklineGroup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6581154-FF2E-4421-95A3-C3D4F3696E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Household Budget WorksheetAZDPA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Steve</dc:creator>
  <cp:keywords/>
  <cp:lastModifiedBy>Steve</cp:lastModifiedBy>
  <cp:lastPrinted>2016-08-23T00:43:50Z</cp:lastPrinted>
  <dcterms:created xsi:type="dcterms:W3CDTF">2016-08-23T00:41:55Z</dcterms:created>
  <dcterms:modified xsi:type="dcterms:W3CDTF">2016-08-23T07:08:19Z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TC040354839991</vt:lpwstr>
  </property>
</Properties>
</file>